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Ig\Desktop\"/>
    </mc:Choice>
  </mc:AlternateContent>
  <xr:revisionPtr revIDLastSave="0" documentId="13_ncr:1_{1A5AAB2B-B01A-473F-8885-686B57FD7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definedNames>
    <definedName name="_xlnm.Print_Titles" localSheetId="0">TDSheet!1:14</definedName>
  </definedNames>
  <calcPr calcId="181029" refMode="R1C1"/>
</workbook>
</file>

<file path=xl/calcChain.xml><?xml version="1.0" encoding="utf-8"?>
<calcChain xmlns="http://schemas.openxmlformats.org/spreadsheetml/2006/main">
  <c r="H2142" i="1" l="1"/>
  <c r="H2141" i="1"/>
  <c r="H2140" i="1"/>
  <c r="H2139" i="1"/>
  <c r="H2137" i="1"/>
  <c r="H2136" i="1"/>
  <c r="H2134" i="1"/>
  <c r="H2133" i="1"/>
  <c r="H2132" i="1"/>
  <c r="H2131" i="1"/>
  <c r="H2129" i="1"/>
  <c r="H2128" i="1"/>
  <c r="H2127" i="1"/>
  <c r="H2126" i="1"/>
  <c r="H2125" i="1"/>
  <c r="H2124" i="1"/>
  <c r="H2122" i="1"/>
  <c r="H2121" i="1"/>
  <c r="H2120" i="1"/>
  <c r="H2119" i="1"/>
  <c r="H2118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4" i="1"/>
  <c r="H113" i="1"/>
  <c r="H112" i="1"/>
  <c r="H111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<sst xmlns="http://schemas.openxmlformats.org/spreadsheetml/2006/main" count="14900" uniqueCount="2209">
  <si>
    <t>Город</t>
  </si>
  <si>
    <t>Район</t>
  </si>
  <si>
    <t>Адрес</t>
  </si>
  <si>
    <t>Формат</t>
  </si>
  <si>
    <t>Размер</t>
  </si>
  <si>
    <t>Сторона</t>
  </si>
  <si>
    <t>Цена</t>
  </si>
  <si>
    <t>Карта</t>
  </si>
  <si>
    <t>ГИД</t>
  </si>
  <si>
    <t>Ачинск</t>
  </si>
  <si>
    <t>Южная промзона</t>
  </si>
  <si>
    <t>5 июля, 100 м на юго-запад стр. 1</t>
  </si>
  <si>
    <t>Билборд</t>
  </si>
  <si>
    <t>6 X 3 м</t>
  </si>
  <si>
    <t>А</t>
  </si>
  <si>
    <t>ACH_BB11</t>
  </si>
  <si>
    <t>В</t>
  </si>
  <si>
    <t>5-й Микрорайон</t>
  </si>
  <si>
    <t>Гагарина, западнее жилого дома № 42, 5-й мкрн</t>
  </si>
  <si>
    <t>ACH_BB4</t>
  </si>
  <si>
    <t>28-й квартал</t>
  </si>
  <si>
    <t>Гагарина, напротив здания №24</t>
  </si>
  <si>
    <t>ACH_BB3</t>
  </si>
  <si>
    <t>Северный</t>
  </si>
  <si>
    <t>Дзержинского, 49</t>
  </si>
  <si>
    <t>ACH_BB8</t>
  </si>
  <si>
    <t>2-й Микрорайон</t>
  </si>
  <si>
    <t>Кольцо на пересечение улиц Гагарина, Свердлова, проезда Авиаторов</t>
  </si>
  <si>
    <t>А1</t>
  </si>
  <si>
    <t>ACH_BB1</t>
  </si>
  <si>
    <t>А2</t>
  </si>
  <si>
    <t>А3</t>
  </si>
  <si>
    <t>А4</t>
  </si>
  <si>
    <t>В1</t>
  </si>
  <si>
    <t>В2</t>
  </si>
  <si>
    <t>В3</t>
  </si>
  <si>
    <t>В4</t>
  </si>
  <si>
    <t>С1</t>
  </si>
  <si>
    <t>С2</t>
  </si>
  <si>
    <t>С3</t>
  </si>
  <si>
    <t>С4</t>
  </si>
  <si>
    <t>Квартал 7Б</t>
  </si>
  <si>
    <t>Кравченко, 51 (ситиборд 4,0х3,0)</t>
  </si>
  <si>
    <t>Ситиборд</t>
  </si>
  <si>
    <t>4 X 3 м</t>
  </si>
  <si>
    <t>ACH_SB5</t>
  </si>
  <si>
    <t>Кравченко, квартал 7-Б, 150 м до АЗС</t>
  </si>
  <si>
    <t>ACH_BB5</t>
  </si>
  <si>
    <t>Кравченко, юго-западнее жилого дома №2 (12,0 х 3,0)</t>
  </si>
  <si>
    <t>Призматрон</t>
  </si>
  <si>
    <t>12 X 3 м</t>
  </si>
  <si>
    <t>ACH_SS1</t>
  </si>
  <si>
    <t>2-й Юговосточный</t>
  </si>
  <si>
    <t>Лапенкова, 15м на север от дома №44, Юго-Восточный р-н (ситиборд 4,0х3,0)</t>
  </si>
  <si>
    <t>ACH_SB1</t>
  </si>
  <si>
    <t>Лапенкова, 37 (ситиборд 4,0х3,0)</t>
  </si>
  <si>
    <t>ACH_SB2</t>
  </si>
  <si>
    <t>6-й микрорайон</t>
  </si>
  <si>
    <t>Назарова 17</t>
  </si>
  <si>
    <t>ACH_BB12</t>
  </si>
  <si>
    <t>4-й привокзальный</t>
  </si>
  <si>
    <t>Шоссе Нефтянников, напротив стр. 14 по ул. Дружбы Народов</t>
  </si>
  <si>
    <t>ACH_BB9</t>
  </si>
  <si>
    <t>4-й квартал</t>
  </si>
  <si>
    <t>Южная промзона, у здания №2 напротив</t>
  </si>
  <si>
    <t>ACH_BB7</t>
  </si>
  <si>
    <t>Южная промзона, через дорогу от здания №2А</t>
  </si>
  <si>
    <t>ACH_BB10</t>
  </si>
  <si>
    <t>Березовка</t>
  </si>
  <si>
    <t>Березовский</t>
  </si>
  <si>
    <t>Трактовая, 128а, АЗС Роснефть, въезд в Березовку</t>
  </si>
  <si>
    <t>KRS_BB515</t>
  </si>
  <si>
    <t>Трактовая, 128а, АЗС Роснефть, выезд из Березовки, выезд</t>
  </si>
  <si>
    <t>Трактовая, 80, въезд в город</t>
  </si>
  <si>
    <t>KRS_BB511</t>
  </si>
  <si>
    <t>Трактовая, 80, выезд из города</t>
  </si>
  <si>
    <t>Трактовая, 80, стр 1. въезд в город</t>
  </si>
  <si>
    <t>KRS_BB512</t>
  </si>
  <si>
    <t>Трактовая, 80, стр 1. выезд из города</t>
  </si>
  <si>
    <t>Трактовая, 82, стр 1. въезд в город</t>
  </si>
  <si>
    <t>KRS_BB513</t>
  </si>
  <si>
    <t>Трактовая, 82, стр 1. выезд из города</t>
  </si>
  <si>
    <t>Трактовая, 82б</t>
  </si>
  <si>
    <t>KRS_BB529</t>
  </si>
  <si>
    <t>Трактовая, 84</t>
  </si>
  <si>
    <t>KRS_BB514</t>
  </si>
  <si>
    <t>Трактовая, 84, выезд</t>
  </si>
  <si>
    <t>Трактовая-Глинки, 600 м до жд переезда, въезд</t>
  </si>
  <si>
    <t>KRS_BB508</t>
  </si>
  <si>
    <t>KRS_BB508</t>
  </si>
  <si>
    <t>Трактовая-Глинки, 700 м до жд переезда, въезд</t>
  </si>
  <si>
    <t>KRS_BB509</t>
  </si>
  <si>
    <t>Трактовая-Глинки, 700 м до жд переезда, выезд</t>
  </si>
  <si>
    <t>Трактовая-Глинки, 800 м до жд переезда, въезд</t>
  </si>
  <si>
    <t>KRS_BB510</t>
  </si>
  <si>
    <t>Трактовая-Глинки, 800 м до жд переезда, выезд</t>
  </si>
  <si>
    <t>Дивногорск</t>
  </si>
  <si>
    <t>Дивногорский</t>
  </si>
  <si>
    <t>Бориса Полевого 1, район Дом Быта</t>
  </si>
  <si>
    <t>KRS_BB407</t>
  </si>
  <si>
    <t>Нагорная 12/1, пересечение с ул. Бочкина</t>
  </si>
  <si>
    <t>KRS_BB408</t>
  </si>
  <si>
    <t>Нагорная 6</t>
  </si>
  <si>
    <t>KRS_BB409</t>
  </si>
  <si>
    <t>пос. Манский, Красноярская 120 (въезд в город)</t>
  </si>
  <si>
    <t>KRS_BB417</t>
  </si>
  <si>
    <t>пос. Манский, Красноярская 120 (выезд из города)</t>
  </si>
  <si>
    <t>пос. Манский, Красноярская 120, напротив (въезд в город)</t>
  </si>
  <si>
    <t>KRS_BB416</t>
  </si>
  <si>
    <t>пос. Манский, Красноярская 120, напротив (выезд из города)</t>
  </si>
  <si>
    <t>пос. Слизнево, 300м до смотровой площадки, в город</t>
  </si>
  <si>
    <t>KRS_BB415</t>
  </si>
  <si>
    <t>пос. Слизнево, 300м до смотровой площадки, из города</t>
  </si>
  <si>
    <t>пос. Слизнево, 400м до смотровой площадки</t>
  </si>
  <si>
    <t>KRS_BB414</t>
  </si>
  <si>
    <t>пос. Слизнево, 500м до смотровой площадки, в город</t>
  </si>
  <si>
    <t>KRS_BB413</t>
  </si>
  <si>
    <t>пос. Слизнево, 500м до смотровой площадки,из города</t>
  </si>
  <si>
    <t>Старый скит 14а, напротив</t>
  </si>
  <si>
    <t>KRS_BB410</t>
  </si>
  <si>
    <t>Трасса М-54, 2,5 км от п. Усть-Мана, в город</t>
  </si>
  <si>
    <t>KRS_BB411</t>
  </si>
  <si>
    <t>Трасса М-54, 2,5 км от п. Усть-Мана, из города</t>
  </si>
  <si>
    <t>Трасса М-54, п. Усть-Мана, район ул. Шоссейной 7</t>
  </si>
  <si>
    <t>KRS_BB412</t>
  </si>
  <si>
    <t>Железногорск</t>
  </si>
  <si>
    <t>Ленинградский</t>
  </si>
  <si>
    <t>60 лет ВЛКСМ (МЖК)</t>
  </si>
  <si>
    <t>ZHG_BB1</t>
  </si>
  <si>
    <t>ZHG_BB1</t>
  </si>
  <si>
    <t>60 лет ВЛКСМ 24 (Снежинка)</t>
  </si>
  <si>
    <t>ZHG_BB2</t>
  </si>
  <si>
    <t>60 лет ВЛКСМ пересечение с проспектом Ленинградский</t>
  </si>
  <si>
    <t>ZHG_BB6</t>
  </si>
  <si>
    <t>Центральный</t>
  </si>
  <si>
    <t>Восточная 22</t>
  </si>
  <si>
    <t>ZHG_BB3</t>
  </si>
  <si>
    <t>СПК Солнечный</t>
  </si>
  <si>
    <t>Енисейская 33 (КПП), въезд в город</t>
  </si>
  <si>
    <t>ZHG_BB5</t>
  </si>
  <si>
    <t>Кирова 13 (Поликлиника)</t>
  </si>
  <si>
    <t>ZHG_BB4</t>
  </si>
  <si>
    <t>Курчатова 36</t>
  </si>
  <si>
    <t>ZHG_BB10</t>
  </si>
  <si>
    <t>Ленинградский проспект 101</t>
  </si>
  <si>
    <t>ZHG_BB8</t>
  </si>
  <si>
    <t>Ленинградский проспект 105</t>
  </si>
  <si>
    <t>ZHG_BB9</t>
  </si>
  <si>
    <t>Ленинградский проспект 7/1 (остановка Кантат)</t>
  </si>
  <si>
    <t>ZHG_BB7</t>
  </si>
  <si>
    <t>Советской Армии 24 (Дом Быта)</t>
  </si>
  <si>
    <t>ZHG_BB11</t>
  </si>
  <si>
    <t>Заозерный</t>
  </si>
  <si>
    <t>Заозёрный</t>
  </si>
  <si>
    <t>Въезд в город Заозерный, с п. Бородино</t>
  </si>
  <si>
    <t>ZAZ_BB1</t>
  </si>
  <si>
    <t>Советская 47</t>
  </si>
  <si>
    <t>ZAZ_BB2</t>
  </si>
  <si>
    <t>Зеленогорск</t>
  </si>
  <si>
    <t>Заводская 3</t>
  </si>
  <si>
    <t>ZG_BB8</t>
  </si>
  <si>
    <t>Калинина 27 напротив СК Нептун</t>
  </si>
  <si>
    <t>ZG_BB9</t>
  </si>
  <si>
    <t>Калинина 27, поворот на РЭО ГИБДД</t>
  </si>
  <si>
    <t>ZG_BB7</t>
  </si>
  <si>
    <t>Майское шоссе, напротив дома по ул. Строителей 25</t>
  </si>
  <si>
    <t>ZG_BB5</t>
  </si>
  <si>
    <t>Набережная 58</t>
  </si>
  <si>
    <t>ZG_BB1</t>
  </si>
  <si>
    <t>Набережная 66</t>
  </si>
  <si>
    <t>ZG_BB2</t>
  </si>
  <si>
    <t>Октябрьская 55, напротив АЗС</t>
  </si>
  <si>
    <t>ZG_BB4</t>
  </si>
  <si>
    <t>Октябрьское шоссе, въезд в город Зеленогорск</t>
  </si>
  <si>
    <t>ZG_BB6</t>
  </si>
  <si>
    <t>Парковая 2</t>
  </si>
  <si>
    <t>ZG_BB10</t>
  </si>
  <si>
    <t>Парковая 54</t>
  </si>
  <si>
    <t>ZG_BB11</t>
  </si>
  <si>
    <t>Песчаная 2</t>
  </si>
  <si>
    <t>ZG_BB12</t>
  </si>
  <si>
    <t>Рабочая, 2</t>
  </si>
  <si>
    <t>ZG_BB3</t>
  </si>
  <si>
    <t>Канск</t>
  </si>
  <si>
    <t>30 лет ВЛКСМ 9А</t>
  </si>
  <si>
    <t>KNK_BB42</t>
  </si>
  <si>
    <t>Порт Артур</t>
  </si>
  <si>
    <t>40 лет Октября 60/1</t>
  </si>
  <si>
    <t>KNK_BB68</t>
  </si>
  <si>
    <t>40 лет Октября 60/16, напротив Порт Артура</t>
  </si>
  <si>
    <t>KNK_BB52</t>
  </si>
  <si>
    <t>40 лет Октября 60/17</t>
  </si>
  <si>
    <t>KNK_BB53</t>
  </si>
  <si>
    <t>40 лет Октября 60/34</t>
  </si>
  <si>
    <t>KNK_BB54</t>
  </si>
  <si>
    <t>40 лет Октября 60г, кафе Аэлита</t>
  </si>
  <si>
    <t>KNK_BB51</t>
  </si>
  <si>
    <t>Предмостный</t>
  </si>
  <si>
    <t>40 лет Октября, 1А</t>
  </si>
  <si>
    <t>KNK_BB64</t>
  </si>
  <si>
    <t>40 лет Октября, 1Б</t>
  </si>
  <si>
    <t>KNK_BB44</t>
  </si>
  <si>
    <t>40 лет Октября, 2Б</t>
  </si>
  <si>
    <t>KNK_BB45</t>
  </si>
  <si>
    <t>40 лет Октября, 38</t>
  </si>
  <si>
    <t>KNK_BB47</t>
  </si>
  <si>
    <t>Северо-западный</t>
  </si>
  <si>
    <t>40 лет Октября, 39</t>
  </si>
  <si>
    <t>KNK_BB48</t>
  </si>
  <si>
    <t>40 лет Октября, 3В</t>
  </si>
  <si>
    <t>KNK_BB46</t>
  </si>
  <si>
    <t>40 лет Октября, 52</t>
  </si>
  <si>
    <t>KNK_BB49</t>
  </si>
  <si>
    <t>40 лет Октября, 65г "Педагогический колледж"</t>
  </si>
  <si>
    <t>KNK_BB50</t>
  </si>
  <si>
    <t>40 лет Октября, 68 Д</t>
  </si>
  <si>
    <t>KNK_BB55</t>
  </si>
  <si>
    <t>4-ая Площадка</t>
  </si>
  <si>
    <t>40 лет Октября, 75 А</t>
  </si>
  <si>
    <t>KNK_BB56</t>
  </si>
  <si>
    <t>40 лет Октября, 80/1</t>
  </si>
  <si>
    <t>KNK_BB57</t>
  </si>
  <si>
    <t>МЖК</t>
  </si>
  <si>
    <t>6-й км Тасеевского тракта</t>
  </si>
  <si>
    <t>KNK_BB61</t>
  </si>
  <si>
    <t>4-й Центральный</t>
  </si>
  <si>
    <t>Гетоева, 17 напротив</t>
  </si>
  <si>
    <t>KNK_BB5</t>
  </si>
  <si>
    <t>Гетоева, 21 напротив</t>
  </si>
  <si>
    <t>KNK_BB4</t>
  </si>
  <si>
    <t>Гетоева, 29 В</t>
  </si>
  <si>
    <t>KNK_BB2</t>
  </si>
  <si>
    <t>Гетоева, 31 Б</t>
  </si>
  <si>
    <t>KNK_BB3</t>
  </si>
  <si>
    <t>Гетоева, 31</t>
  </si>
  <si>
    <t>KNK_BB66</t>
  </si>
  <si>
    <t>Гетоева, 43 Г, 1-ая конструкция</t>
  </si>
  <si>
    <t>KNK_BB1</t>
  </si>
  <si>
    <t>Гетоева, 43 Г, 4-ая конструкция</t>
  </si>
  <si>
    <t>KNK_BB1 4</t>
  </si>
  <si>
    <t>Гетоева, Кан-Мост 7</t>
  </si>
  <si>
    <t>KNK_BB6</t>
  </si>
  <si>
    <t>Кайтымская 37</t>
  </si>
  <si>
    <t>KNK_BB14</t>
  </si>
  <si>
    <t>Кан-Мост 1А</t>
  </si>
  <si>
    <t>KNK_BB7</t>
  </si>
  <si>
    <t>Левый берег Кана, заезд на мост</t>
  </si>
  <si>
    <t>KNK_BB32</t>
  </si>
  <si>
    <t>Левый берег Кана, съезд с моста</t>
  </si>
  <si>
    <t>Ленина 14</t>
  </si>
  <si>
    <t>KNK_BB31</t>
  </si>
  <si>
    <t>Магистральная, 1 В</t>
  </si>
  <si>
    <t>KNK_BB27</t>
  </si>
  <si>
    <t>Магистральная, 118Е</t>
  </si>
  <si>
    <t>KNK_BB67</t>
  </si>
  <si>
    <t>Солнечный</t>
  </si>
  <si>
    <t>МКР Солнечный, КПП (6-й Северо-Западный мкр. 6/1А)</t>
  </si>
  <si>
    <t>KNK_BB28</t>
  </si>
  <si>
    <t>Московская 16 Б</t>
  </si>
  <si>
    <t>KNK_BB39</t>
  </si>
  <si>
    <t>Московская 48 В</t>
  </si>
  <si>
    <t>KNK_BB40</t>
  </si>
  <si>
    <t>Московская 53</t>
  </si>
  <si>
    <t>KNK_BB41</t>
  </si>
  <si>
    <t>Московский тракт, 18</t>
  </si>
  <si>
    <t>KNK_BB63</t>
  </si>
  <si>
    <t>Юго-западный</t>
  </si>
  <si>
    <t>Московский тракт, 5 А (въезд в Канск)</t>
  </si>
  <si>
    <t>KNK_BB29</t>
  </si>
  <si>
    <t>Московский тракт, 5 А (выезд из Канска)</t>
  </si>
  <si>
    <t>Московский тракт, 5 Б (въезд в Канск)</t>
  </si>
  <si>
    <t>KNK_BB30</t>
  </si>
  <si>
    <t>Московский тракт, 5 Б (выезд из Канска)</t>
  </si>
  <si>
    <t>Муромская, 1 (МЖК)</t>
  </si>
  <si>
    <t>KNK_BB17</t>
  </si>
  <si>
    <t>KNK_BB17</t>
  </si>
  <si>
    <t>Муромская, 13и магазин "Бермуды"</t>
  </si>
  <si>
    <t>KNK_BB15</t>
  </si>
  <si>
    <t>Муромская, 15, напротив ВАЗа</t>
  </si>
  <si>
    <t>KNK_BB1 6</t>
  </si>
  <si>
    <t>KNK_BB16</t>
  </si>
  <si>
    <t>Муромская, 6Д (МЖК)</t>
  </si>
  <si>
    <t>KNK_BB18</t>
  </si>
  <si>
    <t>Николая Буды, 56 (РЭО ГИБДД)</t>
  </si>
  <si>
    <t>KNK_BB43</t>
  </si>
  <si>
    <t>Окружная 27 А</t>
  </si>
  <si>
    <t>KNK_BB35</t>
  </si>
  <si>
    <t>Окружная 4Д</t>
  </si>
  <si>
    <t>KNK_BB37</t>
  </si>
  <si>
    <t>Окружная 4Р</t>
  </si>
  <si>
    <t>KNK_BB36</t>
  </si>
  <si>
    <t>Окружная 50Б</t>
  </si>
  <si>
    <t>KNK_BB33</t>
  </si>
  <si>
    <t>Окружная 59 Г</t>
  </si>
  <si>
    <t>KNK_BB34</t>
  </si>
  <si>
    <t>Окружная 6/1</t>
  </si>
  <si>
    <t>KNK_BB38</t>
  </si>
  <si>
    <t>Парижской Коммуны 60А</t>
  </si>
  <si>
    <t>KNK_BB58</t>
  </si>
  <si>
    <t>Северный микрорайон д. 11 А</t>
  </si>
  <si>
    <t>KNK_BB21</t>
  </si>
  <si>
    <t>Северный микрорайон д. 1А</t>
  </si>
  <si>
    <t>KNK_BB62</t>
  </si>
  <si>
    <t>Северный микрорайон д.22</t>
  </si>
  <si>
    <t>KNK_BB22</t>
  </si>
  <si>
    <t>Северный микрорайон д.23 Б</t>
  </si>
  <si>
    <t>KNK_BB23</t>
  </si>
  <si>
    <t>Северный микрорайон д.26 напротив</t>
  </si>
  <si>
    <t>KNK_BB24</t>
  </si>
  <si>
    <t>Пос. Мелькомбината</t>
  </si>
  <si>
    <t>Шабалина 69 А</t>
  </si>
  <si>
    <t>KNK_BB60</t>
  </si>
  <si>
    <t>Рабочий городок ЛДК</t>
  </si>
  <si>
    <t>Эйдемана 55А</t>
  </si>
  <si>
    <t>KNK_BB65</t>
  </si>
  <si>
    <t>Эйдемана, 107 въезд в город (рядом с домом № 100)</t>
  </si>
  <si>
    <t>KNK_BB10</t>
  </si>
  <si>
    <t>Эйдемана, 107 выезд из города (рядом с домом № 100)</t>
  </si>
  <si>
    <t>Эйдемана, 107, напротив</t>
  </si>
  <si>
    <t>KNK_BB13</t>
  </si>
  <si>
    <t>Эйдемана, 19</t>
  </si>
  <si>
    <t>KNK_BB9</t>
  </si>
  <si>
    <t>Эйдемана, 47 въезд в город</t>
  </si>
  <si>
    <t>KNK_BB11</t>
  </si>
  <si>
    <t>Эйдемана, 47 выезд из города</t>
  </si>
  <si>
    <t>Эйдемана, 59 въезд в город</t>
  </si>
  <si>
    <t>KNK_BB12</t>
  </si>
  <si>
    <t>Эйдемана, 59 выезд из города</t>
  </si>
  <si>
    <t>Эйдемана, 5В</t>
  </si>
  <si>
    <t>KNK_BB8</t>
  </si>
  <si>
    <t>Юго-Западный 4А, МКР</t>
  </si>
  <si>
    <t>KNK_BB59</t>
  </si>
  <si>
    <t>Яковенко, 127 Б</t>
  </si>
  <si>
    <t>KNK_BB19</t>
  </si>
  <si>
    <t>Яковенко, 129 Б</t>
  </si>
  <si>
    <t>KNK_BB20</t>
  </si>
  <si>
    <t>Яковенко, напротив здания по адресу: Микрорайон Северный д.21</t>
  </si>
  <si>
    <t>KNK_BB25</t>
  </si>
  <si>
    <t>Яковенко, Северный микрорайон д.21 (маг. Золотой Ключик)</t>
  </si>
  <si>
    <t>KNK_BB26</t>
  </si>
  <si>
    <t>Красноярск</t>
  </si>
  <si>
    <t>Ленинский</t>
  </si>
  <si>
    <t>26 бакинских комиссаров, 27</t>
  </si>
  <si>
    <t>KRS_BB280</t>
  </si>
  <si>
    <t>26 Бакинских комиссаров, 27</t>
  </si>
  <si>
    <t>Октябрьский</t>
  </si>
  <si>
    <t>2-я Ботаническая улица 1а</t>
  </si>
  <si>
    <t>Остановка</t>
  </si>
  <si>
    <t>1,8 X 1,2 м</t>
  </si>
  <si>
    <t>KRS_CF340</t>
  </si>
  <si>
    <t>2-я Брянская, в районе здания по ул. Маерчака, 66 (суперборд 12*4)</t>
  </si>
  <si>
    <t>Суперборд</t>
  </si>
  <si>
    <t>12 X 4 м</t>
  </si>
  <si>
    <t>KRS_SS1</t>
  </si>
  <si>
    <t>Советский</t>
  </si>
  <si>
    <t>60 лет образования СССР 17, со стороны северного фасада дома</t>
  </si>
  <si>
    <t>KRS_BB133</t>
  </si>
  <si>
    <t>60 лет образования СССР 45/1, на противоположной стороне дороги</t>
  </si>
  <si>
    <t>KRS_BB134</t>
  </si>
  <si>
    <t>60 лет образования СССР 61, на противоположной стороне дороги</t>
  </si>
  <si>
    <t>KRS_BB136</t>
  </si>
  <si>
    <t>60 лет образования СССР 61, со стороны северного фасада дома</t>
  </si>
  <si>
    <t>KRS_BB135</t>
  </si>
  <si>
    <t>60 лет образования СССР 63, на противоположной стороне дороги</t>
  </si>
  <si>
    <t>KRS_BB137</t>
  </si>
  <si>
    <t>Свердловский</t>
  </si>
  <si>
    <t>60 лет Октября 105</t>
  </si>
  <si>
    <t>KRS_BB153</t>
  </si>
  <si>
    <t>60 лет Октября 105ж, остановка "Монтажный колледж"</t>
  </si>
  <si>
    <t>KRS_CF275</t>
  </si>
  <si>
    <t>60 лет Октября 106, 9 метров от восточного фасада</t>
  </si>
  <si>
    <t>KRS_BB152</t>
  </si>
  <si>
    <t>60 лет Октября 114</t>
  </si>
  <si>
    <t>KRS_BB154</t>
  </si>
  <si>
    <t>60 лет Октября 114, остановка "Художественное училище"</t>
  </si>
  <si>
    <t>KRS_CF159</t>
  </si>
  <si>
    <t>60 лет Октября 121</t>
  </si>
  <si>
    <t>KRS_BB155</t>
  </si>
  <si>
    <t>60 лет Октября 138, остановка "Техникум"</t>
  </si>
  <si>
    <t>KRS_CF248</t>
  </si>
  <si>
    <t>60 лет Октября 160, остановка "ДОСААФ"</t>
  </si>
  <si>
    <t>KRS_CF307</t>
  </si>
  <si>
    <t>60 лет Октября 169</t>
  </si>
  <si>
    <t>KRS_BB157</t>
  </si>
  <si>
    <t>60 лет Октября 2 стр. 1</t>
  </si>
  <si>
    <t>KRS_CF305</t>
  </si>
  <si>
    <t>60 лет Октября 26а, остановка Медцентр</t>
  </si>
  <si>
    <t>KRS_CF306</t>
  </si>
  <si>
    <t>60 лет Октября 59</t>
  </si>
  <si>
    <t>KRS_BB148</t>
  </si>
  <si>
    <t>60 лет Октября 93, в сторону ОАО Пикра</t>
  </si>
  <si>
    <t>KRS_BB151</t>
  </si>
  <si>
    <t>78 Добровольческой бригады 21</t>
  </si>
  <si>
    <t>Сити-формат в составе указателя</t>
  </si>
  <si>
    <t xml:space="preserve"> KRS_CFU2</t>
  </si>
  <si>
    <t>78 Добровольческой бригады 7</t>
  </si>
  <si>
    <t>Пиллар</t>
  </si>
  <si>
    <t>2,9 X 1,4 м</t>
  </si>
  <si>
    <t>KRS_MB1</t>
  </si>
  <si>
    <t>78 Добровольческой Бригады, 10, остановка</t>
  </si>
  <si>
    <t>KRS_CF150</t>
  </si>
  <si>
    <t>78 Добровольческой Бригады, 11, остановка Мединстал</t>
  </si>
  <si>
    <t>KRS_CF199</t>
  </si>
  <si>
    <t>KRS_CF199</t>
  </si>
  <si>
    <t>78 Добровольческой Бригады, 19</t>
  </si>
  <si>
    <t>Сити-формат</t>
  </si>
  <si>
    <t>KRS_CF85</t>
  </si>
  <si>
    <t>78 Добровольческой Бригады, 2</t>
  </si>
  <si>
    <t>KRS_CF84</t>
  </si>
  <si>
    <t>78 Добровольческой Бригады, 3, остановка Сбербанк</t>
  </si>
  <si>
    <t>KRS_CF198</t>
  </si>
  <si>
    <t>KRS_CF198</t>
  </si>
  <si>
    <t>78-й Добровольческой Бригады, 21 (ситиборд-призматрон 3,7,*2,7м)</t>
  </si>
  <si>
    <t>Ситиборд призматрон</t>
  </si>
  <si>
    <t>3,7 X 2,7 м</t>
  </si>
  <si>
    <t>KRS_SB49</t>
  </si>
  <si>
    <t>9 мая 10, остановка Северный Мкр. (По направлению в сторону Планеты)</t>
  </si>
  <si>
    <t>KRS_CF163</t>
  </si>
  <si>
    <t>KRS_CF163</t>
  </si>
  <si>
    <t>9 мая 10а</t>
  </si>
  <si>
    <t>KRS_BB580</t>
  </si>
  <si>
    <t>9 Мая 14а, остановка Урванцева</t>
  </si>
  <si>
    <t>KRS_CF329</t>
  </si>
  <si>
    <t>9 мая 15, остановка Школа № 147 (По направлению в сторону Мкр. Солнечный)</t>
  </si>
  <si>
    <t>KRS_CF164</t>
  </si>
  <si>
    <t>KRS_CF164</t>
  </si>
  <si>
    <t>9 мая 31а, остановка Северный (По направлению в сторону Мкр. Солнечный)</t>
  </si>
  <si>
    <t>KRS_CF165</t>
  </si>
  <si>
    <t>9 мая 58, остановка Дом Куприяна</t>
  </si>
  <si>
    <t>KRS_CF254</t>
  </si>
  <si>
    <t>9 мая 6, остановка Школа № 147 (По направлению в сторону Планеты)</t>
  </si>
  <si>
    <t>KRS_CF162</t>
  </si>
  <si>
    <t>KRS_CF162</t>
  </si>
  <si>
    <t>9 мая 69, остановка</t>
  </si>
  <si>
    <t>KRS_CF258</t>
  </si>
  <si>
    <t>9 мая 77 (суперборд 12*4)</t>
  </si>
  <si>
    <t>KRS_SS3</t>
  </si>
  <si>
    <t>9 мая 77, строение 1</t>
  </si>
  <si>
    <t>KRS_BB41</t>
  </si>
  <si>
    <t>9 мая напротив дома по ул. Авиаторов 68</t>
  </si>
  <si>
    <t>KRS_BB536</t>
  </si>
  <si>
    <t>9 Мая, 15</t>
  </si>
  <si>
    <t>KRS_BB36</t>
  </si>
  <si>
    <t>9 мая, 26а</t>
  </si>
  <si>
    <t>KRS_BB37</t>
  </si>
  <si>
    <t>KRS_BB37</t>
  </si>
  <si>
    <t>9 мая, 2и</t>
  </si>
  <si>
    <t>KRS_BB35</t>
  </si>
  <si>
    <t>9 мая, 31 а</t>
  </si>
  <si>
    <t>KRS_BB537</t>
  </si>
  <si>
    <t>9 мая, 35а</t>
  </si>
  <si>
    <t>KRS_BB38</t>
  </si>
  <si>
    <t>9 Мая, 42</t>
  </si>
  <si>
    <t>KRS_CF72</t>
  </si>
  <si>
    <t>9 мая, 43</t>
  </si>
  <si>
    <t>KRS_BB39</t>
  </si>
  <si>
    <t>9 Мая, 75</t>
  </si>
  <si>
    <t>KRS_BB40</t>
  </si>
  <si>
    <t>9 мая, напротив здания по ул. Водопьянова, 15а</t>
  </si>
  <si>
    <t>KRS_BB34</t>
  </si>
  <si>
    <t>9 мая/Авиаторов, со стороны здания по ул. Авиаторов, 68, на разделительной полосе</t>
  </si>
  <si>
    <t>KRS_BB33</t>
  </si>
  <si>
    <t>78-й Добровольческой Бригады, 21 (ситиборд 3,7,*2,7м)</t>
  </si>
  <si>
    <t>Авиаторов 2/1</t>
  </si>
  <si>
    <t>Видеоэкран</t>
  </si>
  <si>
    <t>KRS_DBB6</t>
  </si>
  <si>
    <t>А10</t>
  </si>
  <si>
    <t>А11</t>
  </si>
  <si>
    <t>А12</t>
  </si>
  <si>
    <t>А5</t>
  </si>
  <si>
    <t>А6</t>
  </si>
  <si>
    <t>А7</t>
  </si>
  <si>
    <t>А8</t>
  </si>
  <si>
    <t>А9</t>
  </si>
  <si>
    <t>Авиаторов 29, остановка</t>
  </si>
  <si>
    <t>KRS_CF304</t>
  </si>
  <si>
    <t>Авиаторов 42, остановка ЖК Иннокентьевский</t>
  </si>
  <si>
    <t>KRS_CF92</t>
  </si>
  <si>
    <t>Авиаторов 50 Д</t>
  </si>
  <si>
    <t>KRS_BB576</t>
  </si>
  <si>
    <t>Авиаторов 50, 400м до ТРЦ "Пла-а"</t>
  </si>
  <si>
    <t>KRS_BB12</t>
  </si>
  <si>
    <t>Авиаторов 50, на противоположной стороне дороги</t>
  </si>
  <si>
    <t>KRS_DBB9</t>
  </si>
  <si>
    <t>Авиаторов 54</t>
  </si>
  <si>
    <t>KRS_BB13</t>
  </si>
  <si>
    <t>Авиаторов 60, остановка ТРЦ Планета</t>
  </si>
  <si>
    <t>KRS_CF354</t>
  </si>
  <si>
    <t>Авиаторов, 1, стр.2</t>
  </si>
  <si>
    <t>KRS_BB7</t>
  </si>
  <si>
    <t>Авиаторов, 1Б</t>
  </si>
  <si>
    <t>KRS_BB5</t>
  </si>
  <si>
    <t>KRS_BB5</t>
  </si>
  <si>
    <t>Авиаторов, 39 (призматрон)</t>
  </si>
  <si>
    <t>KRS_BB10</t>
  </si>
  <si>
    <t>Авиаторов, 39</t>
  </si>
  <si>
    <t>Авиаторов, 39, остановка общественного транспорта "Авиаторов"</t>
  </si>
  <si>
    <t>KRS_CF86</t>
  </si>
  <si>
    <t>Авиаторов, 40, поз. 1</t>
  </si>
  <si>
    <t>KRS_BB533</t>
  </si>
  <si>
    <t>Авиаторов, 40, поз. 1</t>
  </si>
  <si>
    <t>Авиаторов, 42, поз. 3</t>
  </si>
  <si>
    <t>KRS_BB11</t>
  </si>
  <si>
    <t>Авиаторов, 5 (ситиборд 4,4*3,4)</t>
  </si>
  <si>
    <t>4,4 X 3,4 м</t>
  </si>
  <si>
    <t>KRS_SB8</t>
  </si>
  <si>
    <t>Авиаторов, база МЧС (призматрон)</t>
  </si>
  <si>
    <t>KRS_BB9</t>
  </si>
  <si>
    <t>Авиаторов, в районе здания по ул. Молокова, 1ж/2</t>
  </si>
  <si>
    <t>KRS_BB4</t>
  </si>
  <si>
    <t>Авиаторов, въезд на мост, справа при движении к Северному шоссе</t>
  </si>
  <si>
    <t>KRS_BB20</t>
  </si>
  <si>
    <t>KRS_BB20</t>
  </si>
  <si>
    <t>Авиаторов, въезд на Октябрьский мост</t>
  </si>
  <si>
    <t>KRS_BB1</t>
  </si>
  <si>
    <t>Авиаторов, на противоположной стороне дома с адресом Светлогорский, 23</t>
  </si>
  <si>
    <t>KRS_BB18</t>
  </si>
  <si>
    <t>Авиаторов, на противоположной стороне дороги от дома по ул. 9 Мая, 60а в город (суперборд 12*4)</t>
  </si>
  <si>
    <t>KRS_SS4</t>
  </si>
  <si>
    <t>Авиаторов, на противоположной стороне дороги от дома по ул. 9 Мая, 60а из города (суперборд 12*4)</t>
  </si>
  <si>
    <t>Авиаторов, напротив Ауди центра</t>
  </si>
  <si>
    <t>KRS_BB3</t>
  </si>
  <si>
    <t>Авиаторов, напротив дома по ул. 9 Мая, 60а</t>
  </si>
  <si>
    <t>KRS_BB15</t>
  </si>
  <si>
    <t>Авиаторов, напротив дома по ул. 9 Мая, 64</t>
  </si>
  <si>
    <t>KRS_BB16</t>
  </si>
  <si>
    <t>Авиаторов, напротив дома по ул. Алексеева, 39</t>
  </si>
  <si>
    <t>KRS_BB14</t>
  </si>
  <si>
    <t>Авиаторов, напротив дома по ул. Светлогорский 23, остановка</t>
  </si>
  <si>
    <t>KRS_CF93</t>
  </si>
  <si>
    <t>Авиаторов, напротив дома с адресом Светлогорский, 23</t>
  </si>
  <si>
    <t>KRS_BB17</t>
  </si>
  <si>
    <t>Авиаторов, остановка "Ауди-центр Красноярск"</t>
  </si>
  <si>
    <t>KRS_CF89</t>
  </si>
  <si>
    <t>KRS_CF89</t>
  </si>
  <si>
    <t>Авиаторов, остановка общественного транспорта "Площадь Октябрьская"</t>
  </si>
  <si>
    <t>KRS_CF87</t>
  </si>
  <si>
    <t>Авиаторов, остановка ТРЦ Планета</t>
  </si>
  <si>
    <t>KRS_CF88</t>
  </si>
  <si>
    <t>Авиаторов, пересечение с ул. Алексеева со стороны ТРЦ Планета</t>
  </si>
  <si>
    <t>KRS_CF172</t>
  </si>
  <si>
    <t>Авиаторов, слева при движении к Октябрьскому мосту</t>
  </si>
  <si>
    <t>KRS_BB2</t>
  </si>
  <si>
    <t>Авиаторов, слева при движении от Октябрьского моста</t>
  </si>
  <si>
    <t>Авиаторов, съезд на ул. 9 мая</t>
  </si>
  <si>
    <t>KRS_BB19</t>
  </si>
  <si>
    <t>Кировский</t>
  </si>
  <si>
    <t>Академика Вавилова 25, остановка ТЮЗ</t>
  </si>
  <si>
    <t>KRS_CF6</t>
  </si>
  <si>
    <t>Академика Вавилова 42, остановка Техникум</t>
  </si>
  <si>
    <t>KRS_CF325</t>
  </si>
  <si>
    <t>Академика Вавилова 66, остановка Водник</t>
  </si>
  <si>
    <t>KRS_CF7</t>
  </si>
  <si>
    <t>Академика Вавилова 80, остановка площадь Победы</t>
  </si>
  <si>
    <t>KRS_CF8</t>
  </si>
  <si>
    <t>Академика Киренского 122, остановка</t>
  </si>
  <si>
    <t>KRS_CF147</t>
  </si>
  <si>
    <t>Академика Киренского 2а, на противоположной стороне</t>
  </si>
  <si>
    <t>KRS_BB218</t>
  </si>
  <si>
    <t>Академика Киренского 71, остановка</t>
  </si>
  <si>
    <t>KRS_CF175</t>
  </si>
  <si>
    <t>Академика Киренского 75, остановка</t>
  </si>
  <si>
    <t>KRS_CF146</t>
  </si>
  <si>
    <t>Академика Киренского 87, остановка Комсомольская площадь</t>
  </si>
  <si>
    <t>KRS_CF262</t>
  </si>
  <si>
    <t>Академика Киренского 89, остановка Комсомольская площадь</t>
  </si>
  <si>
    <t>KRS_CF263</t>
  </si>
  <si>
    <t>Академика Киренского, 55</t>
  </si>
  <si>
    <t>KRS_BB554</t>
  </si>
  <si>
    <t>Академика Павлова улица/ Магистральная улица д.7, напротив</t>
  </si>
  <si>
    <t>KRS_BB327</t>
  </si>
  <si>
    <t>Академика Павлова, 41</t>
  </si>
  <si>
    <t>KRS_BB326</t>
  </si>
  <si>
    <t>Академика Павлова, напротив здания по ул. Магистральной, 11</t>
  </si>
  <si>
    <t>KRS_CF9</t>
  </si>
  <si>
    <t>Алексеева 45, на разделительной полосе</t>
  </si>
  <si>
    <t>KRS_BB563</t>
  </si>
  <si>
    <t>Алексеева 49 (суперборд 12*4)</t>
  </si>
  <si>
    <t>KRS_SS5</t>
  </si>
  <si>
    <t>Алексеева 49, остановка "ТРЦ Планета"</t>
  </si>
  <si>
    <t>KRS_CF91</t>
  </si>
  <si>
    <t>Алексеева, 10а, стр. 1</t>
  </si>
  <si>
    <t>KRS_BB21</t>
  </si>
  <si>
    <t>Алексеева, 21</t>
  </si>
  <si>
    <t>KRS_BB22</t>
  </si>
  <si>
    <t>Алексеева, 22 остановка "Водолей"</t>
  </si>
  <si>
    <t>KRS_CF200</t>
  </si>
  <si>
    <t>Алексеева, 27 остановка "Водолей"</t>
  </si>
  <si>
    <t>KRS_CF90</t>
  </si>
  <si>
    <t>Алексеева, 34 остановка Школа</t>
  </si>
  <si>
    <t>KRS_CF355</t>
  </si>
  <si>
    <t>Алексеева, на противоположной стороне дороги от дома по ул. Водопьянова 2</t>
  </si>
  <si>
    <t>KRS_MB2</t>
  </si>
  <si>
    <t>Алексеева, напротив дома по ул. 78-й Добровольческой Бригады 21</t>
  </si>
  <si>
    <t xml:space="preserve"> KRS_CFU3</t>
  </si>
  <si>
    <t>Алексеева, напротив дома по ул. 78-й Добровольческой Бригады, 28</t>
  </si>
  <si>
    <t>KRS_BB25</t>
  </si>
  <si>
    <t>Алексеева, напротив Шахтеров, 62</t>
  </si>
  <si>
    <t>KRS_BB24</t>
  </si>
  <si>
    <t>Алексеева, пересечение с ул. 78-й Добровольческой Бригады, со стороны ТРЦ «Планета»</t>
  </si>
  <si>
    <t xml:space="preserve"> KRS_CFU4</t>
  </si>
  <si>
    <t>Алеши Тимошенкова, 80 остановка</t>
  </si>
  <si>
    <t>KRS_CF267</t>
  </si>
  <si>
    <t>Анатолия Гладкова 13, остановка</t>
  </si>
  <si>
    <t>KRS_CF258А</t>
  </si>
  <si>
    <t>KRS_CF258 В</t>
  </si>
  <si>
    <t>Анатолия Гладкова 21, остановка</t>
  </si>
  <si>
    <t>KRS_CF51</t>
  </si>
  <si>
    <t>Аэровокзальная 16а, остановка междугородний автовокзал</t>
  </si>
  <si>
    <t>KRS_CF342</t>
  </si>
  <si>
    <t>Аэровокзальная 3, остановка</t>
  </si>
  <si>
    <t>KRS_CF298</t>
  </si>
  <si>
    <t>Аэровокзальная 9, остановка междугородный автовокзал</t>
  </si>
  <si>
    <t>KRS_CF341</t>
  </si>
  <si>
    <t>Базайская 101а, остановка Казахлес</t>
  </si>
  <si>
    <t>KRS_CF1215</t>
  </si>
  <si>
    <t>KRS_CF40</t>
  </si>
  <si>
    <t>Базайская 18, остановка</t>
  </si>
  <si>
    <t>KRS_CF303</t>
  </si>
  <si>
    <t>Базайская 319, остановка СНТ Такмак</t>
  </si>
  <si>
    <t>KRS_CF309</t>
  </si>
  <si>
    <t>Базайская 343 напротив, остановка Красноярские столбы</t>
  </si>
  <si>
    <t>KRS_CF41</t>
  </si>
  <si>
    <t>KRS_CF41</t>
  </si>
  <si>
    <t>Базайская 343, остановка Красноярские столбы</t>
  </si>
  <si>
    <t>KRS_CF42</t>
  </si>
  <si>
    <t>KRS_CF42</t>
  </si>
  <si>
    <t>Базайская 347, остановка Гренада</t>
  </si>
  <si>
    <t>KRS_CF43</t>
  </si>
  <si>
    <t>KRS_CF43</t>
  </si>
  <si>
    <t>Базайская 52, остановка</t>
  </si>
  <si>
    <t>KRS_CF308</t>
  </si>
  <si>
    <t>Батурина 15</t>
  </si>
  <si>
    <t>KRS_BB534</t>
  </si>
  <si>
    <t>Батурина 15, напротив</t>
  </si>
  <si>
    <t>KRS_BB26</t>
  </si>
  <si>
    <t>Батурина 19, (ситиборд 3,6*2,7)</t>
  </si>
  <si>
    <t>KRS_SB28</t>
  </si>
  <si>
    <t>Батурина 7</t>
  </si>
  <si>
    <t>KRS_CF232</t>
  </si>
  <si>
    <t>KRS_CF232</t>
  </si>
  <si>
    <t>Батурина, со стороны здания по ул. Весны, 7а</t>
  </si>
  <si>
    <t>KRS_BB27</t>
  </si>
  <si>
    <t>KRS_BB27</t>
  </si>
  <si>
    <t>Белинского 1</t>
  </si>
  <si>
    <t>KRS_MB20</t>
  </si>
  <si>
    <t>Белинского 7 (ситиборд 4,4х3,4)</t>
  </si>
  <si>
    <t>KRS_SB352</t>
  </si>
  <si>
    <t>Белинского, 5 (Сузуки центр "Ермак")</t>
  </si>
  <si>
    <t>KRS_CF94</t>
  </si>
  <si>
    <t>Братьев Абалаковых 134, остановка ДК Комбайностроителей</t>
  </si>
  <si>
    <t>KRS_CF333</t>
  </si>
  <si>
    <t>Железнодорожный</t>
  </si>
  <si>
    <t>Братьев Абалаковых, 2 (ситиборд, 4,4 х 3,4 )</t>
  </si>
  <si>
    <t>KRS_SB333</t>
  </si>
  <si>
    <t>Брянская 137/1</t>
  </si>
  <si>
    <t>Стэнд</t>
  </si>
  <si>
    <t>2,6 X 6 м</t>
  </si>
  <si>
    <t>KRS_ST2</t>
  </si>
  <si>
    <t>Брянская напротив здания по ул. Маерчака 66, остановка Кирпичный завод</t>
  </si>
  <si>
    <t>KRS_CF218</t>
  </si>
  <si>
    <t>KRS_CF218</t>
  </si>
  <si>
    <t>Брянская, 17 (ситиборд 4,4х3,4)</t>
  </si>
  <si>
    <t>KRS_SB355</t>
  </si>
  <si>
    <t>Брянская, 30/1 (ситиборд 4,4х3,4)</t>
  </si>
  <si>
    <t>KRS_SB356</t>
  </si>
  <si>
    <t>Брянская, 30/1 (ситиборд 4,4х3,4), в ст. Котельникова</t>
  </si>
  <si>
    <t>Брянская, 44 (ситиборд 4,4х3,4)</t>
  </si>
  <si>
    <t>KRS_SB357</t>
  </si>
  <si>
    <t>Вавилова, 41</t>
  </si>
  <si>
    <t>KRS_BB307</t>
  </si>
  <si>
    <t>Вавилова, 80</t>
  </si>
  <si>
    <t>KRS_BB308</t>
  </si>
  <si>
    <t>Вавилова, 86</t>
  </si>
  <si>
    <t>KRS_BB310</t>
  </si>
  <si>
    <t>Вавилова, 90</t>
  </si>
  <si>
    <t>KRS_BB311</t>
  </si>
  <si>
    <t>Вейнбаума, напротив здания Качинской, 60г. (ситиборд 4,4х3,4)</t>
  </si>
  <si>
    <t>KRS_SB358</t>
  </si>
  <si>
    <t>Весны, 2</t>
  </si>
  <si>
    <t>KRS_BB63</t>
  </si>
  <si>
    <t>Весны, 2, со стороны западного фасада дома</t>
  </si>
  <si>
    <t>KRS_BB562</t>
  </si>
  <si>
    <t>Весны, 7б</t>
  </si>
  <si>
    <t>KRS_BB65</t>
  </si>
  <si>
    <t>KRS_BB65</t>
  </si>
  <si>
    <t>Взлетная 1</t>
  </si>
  <si>
    <t>KRS_CF74</t>
  </si>
  <si>
    <t>Взлетная 18, остановка Енисейский торговый дом</t>
  </si>
  <si>
    <t>KRS_CF324</t>
  </si>
  <si>
    <t>Взлетная 24, возле ТРЦ Взлетка Плаза (призматрон)</t>
  </si>
  <si>
    <t>KRS_BB67</t>
  </si>
  <si>
    <t>Взлетная 24, возле ТРЦ Взлетка Плаза</t>
  </si>
  <si>
    <t>Взлетная 24, напротив</t>
  </si>
  <si>
    <t>KRS_DBB04</t>
  </si>
  <si>
    <t>KRS_DBB0004</t>
  </si>
  <si>
    <t>В10</t>
  </si>
  <si>
    <t>KRS_DBB0004</t>
  </si>
  <si>
    <t>В11</t>
  </si>
  <si>
    <t>В12</t>
  </si>
  <si>
    <t>В5</t>
  </si>
  <si>
    <t>В6</t>
  </si>
  <si>
    <t>В7</t>
  </si>
  <si>
    <t>В8</t>
  </si>
  <si>
    <t>В9</t>
  </si>
  <si>
    <t>Взлетная 26ж, остановка Автовокзал</t>
  </si>
  <si>
    <t>KRS_CF176</t>
  </si>
  <si>
    <t>Взлетная 48, остановка БТИ</t>
  </si>
  <si>
    <t>KRS_CF177</t>
  </si>
  <si>
    <t>Взлетная 51а, остановка</t>
  </si>
  <si>
    <t>KRS_CF75</t>
  </si>
  <si>
    <t>Взлетная, 24 на противоположной стороне дороги</t>
  </si>
  <si>
    <t>KRS_BB309</t>
  </si>
  <si>
    <t>Взлетная, 24</t>
  </si>
  <si>
    <t>KRS_BB66</t>
  </si>
  <si>
    <t>KRS_BB661</t>
  </si>
  <si>
    <t>KRS_BB662</t>
  </si>
  <si>
    <t>KRS_BB663</t>
  </si>
  <si>
    <t>Взлетная, 30 на противоположной стороне дороги</t>
  </si>
  <si>
    <t>KRS_BB360</t>
  </si>
  <si>
    <t>Взлетная, 30</t>
  </si>
  <si>
    <t>KRS_BB68</t>
  </si>
  <si>
    <t>Водопьянова 12, остановка Медицинский центр</t>
  </si>
  <si>
    <t>KRS_CF194</t>
  </si>
  <si>
    <t>Водопьянова 19, остановка Медицинский центр</t>
  </si>
  <si>
    <t>KRS_CF195</t>
  </si>
  <si>
    <t>KRS_CF195</t>
  </si>
  <si>
    <t>Водопьянова, напротив дома по улице Алексеева 13</t>
  </si>
  <si>
    <t>KRS_CF197</t>
  </si>
  <si>
    <t>Водопьянова, напротив дома по улице Алексеева 3</t>
  </si>
  <si>
    <t>KRS_CF196</t>
  </si>
  <si>
    <t>KRS_CF196</t>
  </si>
  <si>
    <t>Волжская 51а, остановка поселок Инициаторов</t>
  </si>
  <si>
    <t>KRS_CF345</t>
  </si>
  <si>
    <t>Волжская 60а, остановка Инициаторов</t>
  </si>
  <si>
    <t>KRS_CF346</t>
  </si>
  <si>
    <t>Волжская 60г, остановка Гараж</t>
  </si>
  <si>
    <t>KRS_CF347</t>
  </si>
  <si>
    <t>Волжская, 51</t>
  </si>
  <si>
    <t>KRS_BB273</t>
  </si>
  <si>
    <t>Воронова 10а напротив, остановка СПТУ-18</t>
  </si>
  <si>
    <t>KRS_CF226</t>
  </si>
  <si>
    <t>KRS_CF226</t>
  </si>
  <si>
    <t>Воронова 10а, остановка СПТУ-18</t>
  </si>
  <si>
    <t>KRS_CF225</t>
  </si>
  <si>
    <t>Воронова 12, остановка 10-й микрорайон</t>
  </si>
  <si>
    <t>KRS_CF169</t>
  </si>
  <si>
    <t>KRS_CF169</t>
  </si>
  <si>
    <t>Воронова, 12, 55м от пересечения с Рокоссовского</t>
  </si>
  <si>
    <t>KRS_BB69</t>
  </si>
  <si>
    <t>Воронова, 17</t>
  </si>
  <si>
    <t>KRS_BB70</t>
  </si>
  <si>
    <t>Воронова, 24 / Краснодарская</t>
  </si>
  <si>
    <t>KRS_BB71</t>
  </si>
  <si>
    <t>Въезд в Красноярск, со стороны Сосновоборска, 3 км до ул. Глинки</t>
  </si>
  <si>
    <t>KRS_BB567</t>
  </si>
  <si>
    <t>Въезд на Октябрьский мост с ул. Крайней, 2г</t>
  </si>
  <si>
    <t>KRS_BB239</t>
  </si>
  <si>
    <t>KRS_BB239</t>
  </si>
  <si>
    <t>Высотная 1, остановка ГорДК</t>
  </si>
  <si>
    <t>KRS_CF100-1</t>
  </si>
  <si>
    <t>Высотная 3, на противоположной стороне дороги (ситиборд 4,4х3,4)</t>
  </si>
  <si>
    <t>KRS_SB202</t>
  </si>
  <si>
    <t>Высотная 4</t>
  </si>
  <si>
    <t>KRS_DBB0005 - А1</t>
  </si>
  <si>
    <t>KRS_DBB0005 - А10</t>
  </si>
  <si>
    <t>KRS_DBB0005 - А11</t>
  </si>
  <si>
    <t>KRS_DBB0005 - А12</t>
  </si>
  <si>
    <t>KRS_DBB0005 - А2</t>
  </si>
  <si>
    <t>KRS_DBB0005 - А3</t>
  </si>
  <si>
    <t>KRS_DBB0005 - А4</t>
  </si>
  <si>
    <t>KRS_DBB0005 - А5</t>
  </si>
  <si>
    <t>KRS_DBB0005 - А6</t>
  </si>
  <si>
    <t>KRS_DBB0005 - А7</t>
  </si>
  <si>
    <t>KRS_DBB0005 - А8</t>
  </si>
  <si>
    <t>KRS_DBB0005 - А9</t>
  </si>
  <si>
    <t>Высотная 7</t>
  </si>
  <si>
    <t>KRS_CF31</t>
  </si>
  <si>
    <t>Высотная, 2/1</t>
  </si>
  <si>
    <t>KRS_CF30</t>
  </si>
  <si>
    <t>Высотная, 4</t>
  </si>
  <si>
    <t>KRS_BB203</t>
  </si>
  <si>
    <t>Высотная, на противоположной стороне дороги от дома по пр-ту Свободный 50</t>
  </si>
  <si>
    <t>KRS_CF29</t>
  </si>
  <si>
    <t>Гайдашовка 32 стр. 5</t>
  </si>
  <si>
    <t>KRS_BB535</t>
  </si>
  <si>
    <t>Глинки 12, остановка Новая Базаиха</t>
  </si>
  <si>
    <t>KRS_CF227</t>
  </si>
  <si>
    <t>KRS_CF227</t>
  </si>
  <si>
    <t>Глинки 1Д, остановка Станция Базаиха</t>
  </si>
  <si>
    <t>KRS_CF192</t>
  </si>
  <si>
    <t>Глинки 21, остановка</t>
  </si>
  <si>
    <t>KRS_CF188</t>
  </si>
  <si>
    <t>KRS_CF188</t>
  </si>
  <si>
    <t>Глинки 35г, остановка База Ленторга</t>
  </si>
  <si>
    <t>KRS_CF189</t>
  </si>
  <si>
    <t>KRS_CF189</t>
  </si>
  <si>
    <t>Глинки, 10, въезд</t>
  </si>
  <si>
    <t>KRS_BB267</t>
  </si>
  <si>
    <t>Глинки, 10, выезд</t>
  </si>
  <si>
    <t>Глинки, 100 м до ж/д переезда, въезд в город</t>
  </si>
  <si>
    <t>KRS_BB263</t>
  </si>
  <si>
    <t>Глинки, 100 м до ж/д переезда, выезд из города</t>
  </si>
  <si>
    <t>Глинки, 11</t>
  </si>
  <si>
    <t>KRS_BB268</t>
  </si>
  <si>
    <t>Глинки, 200 м до ж/д переезда, въезд в город</t>
  </si>
  <si>
    <t>KRS_BB570</t>
  </si>
  <si>
    <t>Глинки, 34</t>
  </si>
  <si>
    <t>KRS_BB269</t>
  </si>
  <si>
    <t>KRS_BB269</t>
  </si>
  <si>
    <t>Глинки, 37, въезд</t>
  </si>
  <si>
    <t>KRS_BB272</t>
  </si>
  <si>
    <t>Глинки, 37, выезд</t>
  </si>
  <si>
    <t>Глинки, 37, до жд переезда, въезд</t>
  </si>
  <si>
    <t>KRS_BB271</t>
  </si>
  <si>
    <t>Глинки, 37, до жд переезда, выезд</t>
  </si>
  <si>
    <t>Глинки, 37ж, на противоположной стороне , въезд</t>
  </si>
  <si>
    <t>KRS_BB270</t>
  </si>
  <si>
    <t>Глинки, 37ж, на противоположной стороне, выезд</t>
  </si>
  <si>
    <t>Глинки, 500м до ж/д переезда</t>
  </si>
  <si>
    <t>KRS_BB262</t>
  </si>
  <si>
    <t>Глинки, остановка Крастэц</t>
  </si>
  <si>
    <t>KRS_CF252</t>
  </si>
  <si>
    <t>KRS_CF252</t>
  </si>
  <si>
    <t>Глинки, пересечение с ж/д путями, въезд в город</t>
  </si>
  <si>
    <t>KRS_BB265</t>
  </si>
  <si>
    <t>Глинки, пересечение с ж/д путями, выезд</t>
  </si>
  <si>
    <t>Говорова - Волжская, 27</t>
  </si>
  <si>
    <t>KRS_BB275</t>
  </si>
  <si>
    <t>Говорова 52, на противоположной стороне дороги</t>
  </si>
  <si>
    <t>KRS_BB261</t>
  </si>
  <si>
    <t>Говорова 54г, остановка Волжская</t>
  </si>
  <si>
    <t>KRS_CF349</t>
  </si>
  <si>
    <t>Говорова, 36</t>
  </si>
  <si>
    <t>KRS_BB260</t>
  </si>
  <si>
    <t>Горького 6а, остановка Госпиталь</t>
  </si>
  <si>
    <t>KRS_CF119</t>
  </si>
  <si>
    <t>Грунтовая 4, 45 метров до светофора</t>
  </si>
  <si>
    <t>KRS_BB294</t>
  </si>
  <si>
    <t>Грунтовая, 1 г</t>
  </si>
  <si>
    <t>KRS_BB302</t>
  </si>
  <si>
    <t>Грунтовая, со стороны западного фасада сооружения по ул. Новой, 9 стр. 2</t>
  </si>
  <si>
    <t>KRS_BB295</t>
  </si>
  <si>
    <t>Гусарова 3г, стр. 3</t>
  </si>
  <si>
    <t>KRS_BB558</t>
  </si>
  <si>
    <t>Дмитрия Мартынова 21, остановка</t>
  </si>
  <si>
    <t>KRS_CF326</t>
  </si>
  <si>
    <t>Елены Стасовой 7, остановка Овощной магазин</t>
  </si>
  <si>
    <t>KRS_CF301</t>
  </si>
  <si>
    <t>Елены Стасовой, 1</t>
  </si>
  <si>
    <t>KRS_BB236</t>
  </si>
  <si>
    <t>Емельяновский</t>
  </si>
  <si>
    <t>Емельяновский район, трасса с Аэропорта Красноярск, выезд на трассу М-53 (суперборд 12*4)</t>
  </si>
  <si>
    <t>KRS_SS10</t>
  </si>
  <si>
    <t>Емельяновский район, ФАД М-53, 3 км после поста ДПС, (суперборд 12*4)</t>
  </si>
  <si>
    <t>KRS_SS11</t>
  </si>
  <si>
    <t>Енисейский тракт 1а</t>
  </si>
  <si>
    <t>KRS_BB572</t>
  </si>
  <si>
    <t>Енисейский тракт 20</t>
  </si>
  <si>
    <t>KRS_MB31</t>
  </si>
  <si>
    <t>Енисейский тракт 3Г, остановка база КПС</t>
  </si>
  <si>
    <t>KRS_CF222</t>
  </si>
  <si>
    <t>KRS_CF222</t>
  </si>
  <si>
    <t>Енисейский тракт 51, на кольце транспортной развязки</t>
  </si>
  <si>
    <t>KRS_BB539</t>
  </si>
  <si>
    <t>Енисейский тракт 9,3 км от поста ДПС, 100 м до путепровода</t>
  </si>
  <si>
    <t>KRS_BB128</t>
  </si>
  <si>
    <t>Енисейский тракт, 4 км до поста ДПС, въезд</t>
  </si>
  <si>
    <t>KRS_BB104</t>
  </si>
  <si>
    <t>Енисейский тракт, 4 км до поста ДПС, выезд</t>
  </si>
  <si>
    <t>Енисейский тракт, 4,2 км до поста ДПС, въезд</t>
  </si>
  <si>
    <t>KRS_BB105</t>
  </si>
  <si>
    <t>Енисейский тракт, 4,2 км до поста ДПС, выезд</t>
  </si>
  <si>
    <t>Енисейский тракт, 4,3 км до поста ДПС, въезд</t>
  </si>
  <si>
    <t>KRS_BB106</t>
  </si>
  <si>
    <t>Енисейский тракт, 4,3 км до поста ДПС, выезд</t>
  </si>
  <si>
    <t>Енисейский тракт, 5 км до поста ДПС</t>
  </si>
  <si>
    <t>KRS_BB107</t>
  </si>
  <si>
    <t>KRS_BB107</t>
  </si>
  <si>
    <t>Енисейский тракт, 500м до поста ДПС в город</t>
  </si>
  <si>
    <t>KRS_BB102</t>
  </si>
  <si>
    <t>Енисейский тракт, 500м до поста ДПС</t>
  </si>
  <si>
    <t>Енисейский тракт, 6 км до поста ДПС, въезд</t>
  </si>
  <si>
    <t>KRS_BB108</t>
  </si>
  <si>
    <t>Енисейский тракт, 6 км до поста ДПС, выезд</t>
  </si>
  <si>
    <t>Енисейский тракт, 6,8 км до поста ДПС, въезд</t>
  </si>
  <si>
    <t>KRS_BB109</t>
  </si>
  <si>
    <t>Енисейский тракт, 6,8 км до поста ДПС, выезд</t>
  </si>
  <si>
    <t>Енисейский тракт, 7 км до поста ДПС, въезд в город</t>
  </si>
  <si>
    <t>KRS_BB110</t>
  </si>
  <si>
    <t>Енисейский тракт, 7 км до поста ДПС, выезд из города</t>
  </si>
  <si>
    <t>Енисейский тракт, 7,1 км до поста ДПС, въезд в город</t>
  </si>
  <si>
    <t>KRS_BB111</t>
  </si>
  <si>
    <t>Енисейский тракт, 7,1 км до поста ДПС, выезд из города</t>
  </si>
  <si>
    <t>Енисейский тракт, 7,2 км до поста ДПС, въезд в город</t>
  </si>
  <si>
    <t>KRS_BB112</t>
  </si>
  <si>
    <t>Енисейский тракт, 7,2 км до поста ДПС, выезд из города</t>
  </si>
  <si>
    <t>Енисейский тракт, 7,3 км до поста ДПС, въезд в город</t>
  </si>
  <si>
    <t>KRS_BB113</t>
  </si>
  <si>
    <t>Енисейский тракт, 7,3 км до поста ДПС, выезд из города</t>
  </si>
  <si>
    <t>Енисейский тракт, 7,4 км до поста ДПС, въезд в город</t>
  </si>
  <si>
    <t>KRS_BB525</t>
  </si>
  <si>
    <t>Енисейский тракт, 7,4 км до поста ДПС, выезд из города</t>
  </si>
  <si>
    <t>Енисейский тракт, 7,6 км до поста ДПС, въезд в город</t>
  </si>
  <si>
    <t>KRS_BB115</t>
  </si>
  <si>
    <t>Енисейский тракт, 7,6 км до поста ДПС, выезд из города</t>
  </si>
  <si>
    <t>Енисейский тракт, 7,7 км до поста ДПС, въезд в город</t>
  </si>
  <si>
    <t>KRS_BB116</t>
  </si>
  <si>
    <t>Енисейский тракт, 7,7 км до поста ДПС, выезд из города</t>
  </si>
  <si>
    <t>Енисейский тракт, 7,8 км до поста ДПС, въезд в город</t>
  </si>
  <si>
    <t>KRS_BB117</t>
  </si>
  <si>
    <t>Енисейский тракт, 7,8 км до поста ДПС, выезд из города</t>
  </si>
  <si>
    <t>Енисейский тракт, 7,9 км до поста ДПС, въезд в город</t>
  </si>
  <si>
    <t>KRS_BB118</t>
  </si>
  <si>
    <t>Енисейский тракт, 7,9 км до поста ДПС, выезд в город</t>
  </si>
  <si>
    <t>Енисейский тракт, 8 км до поста ДПС, въезд в город</t>
  </si>
  <si>
    <t>KRS_BB119</t>
  </si>
  <si>
    <t>KRS_BB120</t>
  </si>
  <si>
    <t>Енисейский тракт, 8 км до поста ДПС, выезд из города</t>
  </si>
  <si>
    <t>Енисейский тракт, 8,2 км до поста ДПС, въезд в город</t>
  </si>
  <si>
    <t>KRS_BB121</t>
  </si>
  <si>
    <t>Енисейский тракт, 8,2 км до поста ДПС, выезд в город</t>
  </si>
  <si>
    <t>Енисейский тракт, 85 метров от пересечения с Северным шоссе, при движении в мкр. Северный</t>
  </si>
  <si>
    <t>KRS_BB100</t>
  </si>
  <si>
    <t>Енисейский тракт, 9,3 км от поста ДПС, 70 м до путепровода</t>
  </si>
  <si>
    <t>KRS_BB129</t>
  </si>
  <si>
    <t>Енисейский тракт, 9,6 км до поста ДПС</t>
  </si>
  <si>
    <t>KRS_BB526</t>
  </si>
  <si>
    <t>Енисейский тракт, 9,7 км до поста ДПС</t>
  </si>
  <si>
    <t>KRS_BB527</t>
  </si>
  <si>
    <t>Енисейский тракт, въезд в город, 10,5 км до поста ДПС</t>
  </si>
  <si>
    <t>KRS_BB549</t>
  </si>
  <si>
    <t>Енисейский тракт, въезд в город, 9,1 км от поста ДПС, (въезд в город)</t>
  </si>
  <si>
    <t>KRS_BB125</t>
  </si>
  <si>
    <t>Енисейский тракт, въезд в город, 9,1 км от поста ДПС, (выезд в город)</t>
  </si>
  <si>
    <t>Енисейский тракт, въезд в город, 9,2 км от поста ДПС, (въезд в город)</t>
  </si>
  <si>
    <t>KRS_BB126</t>
  </si>
  <si>
    <t>Енисейский тракт, въезд в город, 9,2 км от поста ДПС, (выезд из города)</t>
  </si>
  <si>
    <t>Енисейский тракт, въезд в город, 9,8 км до поста ДПС</t>
  </si>
  <si>
    <t>KRS_BB532</t>
  </si>
  <si>
    <t>Енисейский тракт, въезд в город, 9,9 км до поста ДПС</t>
  </si>
  <si>
    <t>KRS_BB542</t>
  </si>
  <si>
    <t>Енисейский тракт, въезд в города, 9,5 км до поста ДПС</t>
  </si>
  <si>
    <t>KRS_BB130</t>
  </si>
  <si>
    <t>Енисейский тракт, выезд из города, 9 км от поста ДПС, (въезд в город)</t>
  </si>
  <si>
    <t>KRS_BB124</t>
  </si>
  <si>
    <t>Енисейский тракт, выезд из города, 9 км от поста ДПС, (выезд из города)</t>
  </si>
  <si>
    <t>Енисейский тракт, выезд из города, 9,3 км от поста ДПС, 70 м от путепровода</t>
  </si>
  <si>
    <t>KRS_BB127</t>
  </si>
  <si>
    <t>Енисейский тракт, выезд из города, 9,5 км до поста ДПС</t>
  </si>
  <si>
    <t>Енисейский тракт, выезд из города, 9,8 км до поста ДПС</t>
  </si>
  <si>
    <t>Енисейский тракт, до остановки общественного транспорта «Бадалык» при движении в город</t>
  </si>
  <si>
    <t>KRS_BB103</t>
  </si>
  <si>
    <t>Енисейский тракт, до остановки общественного транспорта «Бадалык» при движении из города</t>
  </si>
  <si>
    <t>KRS_DBB8</t>
  </si>
  <si>
    <t>Енисейский тракт, напротив Северное шоссе 11, стр.1</t>
  </si>
  <si>
    <t>KRS_BB99</t>
  </si>
  <si>
    <t>Енисейский тракт, напротив сооружения по ул. 40 лет Победы, 2г, стр. 2 (суперборд 12*4) в город</t>
  </si>
  <si>
    <t>KRS_SS6</t>
  </si>
  <si>
    <t>Енисейский тракт, напротив сооружения по ул. 40 лет Победы, 2г, стр. 2 (суперборд 12*4)</t>
  </si>
  <si>
    <t>Енисейский тракт, пересечение с ул. Славы, въезд в город</t>
  </si>
  <si>
    <t>KRS_BB114</t>
  </si>
  <si>
    <t>Енисейский тракт, пересечение с ул. Славы, выезд из города</t>
  </si>
  <si>
    <t>Железнодорожников 14а, остановка Физкультурный техникум</t>
  </si>
  <si>
    <t>KRS_CF187</t>
  </si>
  <si>
    <t>Железнодорожников 20, остановка</t>
  </si>
  <si>
    <t>KRS_CF1</t>
  </si>
  <si>
    <t>Железнодорожников 26, остановка</t>
  </si>
  <si>
    <t>KRS_CF299</t>
  </si>
  <si>
    <t>Железнодорожников 32, остановка</t>
  </si>
  <si>
    <t>KRS_CF2</t>
  </si>
  <si>
    <t>Затонская 32, остановка</t>
  </si>
  <si>
    <t>KRS_CF247</t>
  </si>
  <si>
    <t>Затонская 38, на противоположной стороне дороги</t>
  </si>
  <si>
    <t>KRS_BB301</t>
  </si>
  <si>
    <t>KRS_BB301</t>
  </si>
  <si>
    <t>Затонская 5, остановка</t>
  </si>
  <si>
    <t>KRS_CF173</t>
  </si>
  <si>
    <t>К. Маркса до ул. Белинского, напротив Мира, 1 (ситиборд 3,7х2,7, призматрон)</t>
  </si>
  <si>
    <t>2,7 X 3,7 м</t>
  </si>
  <si>
    <t>KRS_SB349</t>
  </si>
  <si>
    <t>К. Маркса до ул. Белинского, напротив Мира, 1 (ситиборд 3,9х2,9, статика)</t>
  </si>
  <si>
    <t>2,9 X 3,9 м</t>
  </si>
  <si>
    <t>К. Маркса до ул. Белинского, напротив Мира, 2 б (ситиборд 3,7х2,7, призматрон)</t>
  </si>
  <si>
    <t>KRS_SB350</t>
  </si>
  <si>
    <t>К. Маркса до ул. Белинского, напротив Мира, 2 б (ситиборд 3,9х2,9, статика)</t>
  </si>
  <si>
    <t>3,9 X 2,9 м</t>
  </si>
  <si>
    <t>К. Маркса, до ул. Белинского напротив БКЗ (ситиборд 4,4х3,4)</t>
  </si>
  <si>
    <t>KRS_SB351</t>
  </si>
  <si>
    <t>Калинина 107, остановка "Пожарная часть"</t>
  </si>
  <si>
    <t>KRS_CF274</t>
  </si>
  <si>
    <t>Калинина 167, остановка Стелла Октябрьского района</t>
  </si>
  <si>
    <t>KRS_CF339</t>
  </si>
  <si>
    <t>Калинина 171г, остановка "Школьный городок"</t>
  </si>
  <si>
    <t>KRS_CF161</t>
  </si>
  <si>
    <t>Калинина 35 а</t>
  </si>
  <si>
    <t>KRS_BB335</t>
  </si>
  <si>
    <t>Калинина 35</t>
  </si>
  <si>
    <t>KRS_BB334</t>
  </si>
  <si>
    <t>Калинина 45а</t>
  </si>
  <si>
    <t>KRS_BB336</t>
  </si>
  <si>
    <t>Калинина 52/2</t>
  </si>
  <si>
    <t>KRS_BB222</t>
  </si>
  <si>
    <t>Калинина 78, остановка Полюс</t>
  </si>
  <si>
    <t>KRS_CF337</t>
  </si>
  <si>
    <t>Калинина 79/1, остановка Миграционный центр</t>
  </si>
  <si>
    <t>KRS_CF338</t>
  </si>
  <si>
    <t>Калинина 8, остановка "2-ая Калинина"</t>
  </si>
  <si>
    <t>KRS_CF39</t>
  </si>
  <si>
    <t>Калинина 91 стр.1</t>
  </si>
  <si>
    <t>KRS_DBB7</t>
  </si>
  <si>
    <t>Калинина, 51, въезд</t>
  </si>
  <si>
    <t>KRS_BB221</t>
  </si>
  <si>
    <t>Калинина, 51, выезд</t>
  </si>
  <si>
    <t>Калинина, 61а, въезд</t>
  </si>
  <si>
    <t>KRS_BB223</t>
  </si>
  <si>
    <t>Калинина, 61а, выезд</t>
  </si>
  <si>
    <t>Калинина, 67, въезд</t>
  </si>
  <si>
    <t>KRS_BB224</t>
  </si>
  <si>
    <t>Калинина, 67, выезд</t>
  </si>
  <si>
    <t>Калинина, 71, въезд</t>
  </si>
  <si>
    <t>KRS_BB225</t>
  </si>
  <si>
    <t>Калинина, 71, выезд</t>
  </si>
  <si>
    <t>Калинина, 74 выезд</t>
  </si>
  <si>
    <t>KRS_BB226</t>
  </si>
  <si>
    <t>Калинина, 74</t>
  </si>
  <si>
    <t>Калинина, 77/1</t>
  </si>
  <si>
    <t>KRS_BB227</t>
  </si>
  <si>
    <t>Калинина, 84</t>
  </si>
  <si>
    <t>KRS_BB228</t>
  </si>
  <si>
    <t>Калинина, 90 г на противоположной стороне</t>
  </si>
  <si>
    <t>KRS_BB232</t>
  </si>
  <si>
    <t>Калинина, напротив здания по ул. 2-й Красногорской, 11</t>
  </si>
  <si>
    <t>KRS_BB216</t>
  </si>
  <si>
    <t>Калинина, напротив здания по ул. 2-й Красногорской, 25 (въезд на АЗС КНП)</t>
  </si>
  <si>
    <t>KRS_BB217</t>
  </si>
  <si>
    <t>Калинина, напротив здания по ул. Курейской 5</t>
  </si>
  <si>
    <t>KRS_BB229</t>
  </si>
  <si>
    <t>KRS_BB229</t>
  </si>
  <si>
    <t>Калинина, напротив Норильской 2г, остановка</t>
  </si>
  <si>
    <t>KRS_CF271</t>
  </si>
  <si>
    <t>Калинина, напротив Норильской 4д, остановка</t>
  </si>
  <si>
    <t>KRS_CF272</t>
  </si>
  <si>
    <t>Калинина, напротив Норильской 4е, остановка</t>
  </si>
  <si>
    <t>KRS_CF273</t>
  </si>
  <si>
    <t>Караульная, 30 г</t>
  </si>
  <si>
    <t>KRS_BB379</t>
  </si>
  <si>
    <t>Караульная, 80</t>
  </si>
  <si>
    <t>KRS_BB545</t>
  </si>
  <si>
    <t>Карла Маркса 44</t>
  </si>
  <si>
    <t>KRS_MB21</t>
  </si>
  <si>
    <t>Карла Маркса 47, 1-ая остановка</t>
  </si>
  <si>
    <t>KRS_CF246</t>
  </si>
  <si>
    <t>Карла Маркса 47, 2-ая остановка</t>
  </si>
  <si>
    <t>KRS_CF234</t>
  </si>
  <si>
    <t>Карла Маркса 47, 2-я конструкция</t>
  </si>
  <si>
    <t>KRS_CF130</t>
  </si>
  <si>
    <t>Карла Маркса 47, 3-я конструкция</t>
  </si>
  <si>
    <t>KRS_CF131</t>
  </si>
  <si>
    <t>Карла Маркса 93а, остановка Бизнес-центр "Европа"</t>
  </si>
  <si>
    <t>KRS_CF132</t>
  </si>
  <si>
    <t>Карла Маркса 95</t>
  </si>
  <si>
    <t>KRS_MB22</t>
  </si>
  <si>
    <t>Карла Маркса до ул. Белинского, напротив здания по пр-ту Мира 2Б, остановка общественного транспорта Филармония (БКЗ) (1800х1200)</t>
  </si>
  <si>
    <t>KRS_CF127</t>
  </si>
  <si>
    <t>Карла Маркса до ул. Белинского, напротив здания по пр-ту Мира 2Б, остановка Филармония движение в сторону МедАкадемии (1800х1200)</t>
  </si>
  <si>
    <t>KRS_CF128</t>
  </si>
  <si>
    <t>Карла Маркса до ул. Белинского, проезд от ул. Ленина в сторону ул. Белинского.</t>
  </si>
  <si>
    <t>KRS_BB353</t>
  </si>
  <si>
    <t>Карла Маркса, 124</t>
  </si>
  <si>
    <t>KRS_CF133</t>
  </si>
  <si>
    <t>Карла Маркса, 129, остановка Перенсона</t>
  </si>
  <si>
    <t>KRS_CF134</t>
  </si>
  <si>
    <t>Карла Маркса, 21</t>
  </si>
  <si>
    <t>KRS_CF129</t>
  </si>
  <si>
    <t>Коммунальный мост, остановка Остров Отдыха</t>
  </si>
  <si>
    <t>KRS_CF123</t>
  </si>
  <si>
    <t>Коммунальный мост, остров Отдыха, справа при движении на левый берег, напротив здания по адресу: остров Отдыха, 10/1</t>
  </si>
  <si>
    <t>KRS_BB366</t>
  </si>
  <si>
    <t>KRS_BB366</t>
  </si>
  <si>
    <t>Комсомольский 15, остановка Общежитие</t>
  </si>
  <si>
    <t>KRS_CF316</t>
  </si>
  <si>
    <t>Комсомольский 19</t>
  </si>
  <si>
    <t>KRS_BB54</t>
  </si>
  <si>
    <t>Комсомольский 20, остановка Общежитие</t>
  </si>
  <si>
    <t>KRS_CF317</t>
  </si>
  <si>
    <t>Комсомольский 2в, остановка Ястынское поле</t>
  </si>
  <si>
    <t>KRS_CF243</t>
  </si>
  <si>
    <t>KRS_CF243</t>
  </si>
  <si>
    <t>Комсомольский, 1ж</t>
  </si>
  <si>
    <t>KRS_BB51</t>
  </si>
  <si>
    <t>Комсомольский, 2</t>
  </si>
  <si>
    <t>KRS_BB566</t>
  </si>
  <si>
    <t>Комсомольский, 7</t>
  </si>
  <si>
    <t>KRS_BB50</t>
  </si>
  <si>
    <t>Комсомольский, напротив дома 9 мая 37</t>
  </si>
  <si>
    <t>KRS_BB55</t>
  </si>
  <si>
    <t>Комсомольский, напротив дома 9 мая 39</t>
  </si>
  <si>
    <t>KRS_BB56</t>
  </si>
  <si>
    <t>Комсомольский, напротив дома по ул. Ястынской 1г</t>
  </si>
  <si>
    <t>KRS_BB577</t>
  </si>
  <si>
    <t>Комсомольский, напротив дома по ул. Ястынской 2</t>
  </si>
  <si>
    <t>KRS_BB52</t>
  </si>
  <si>
    <t>Комсомольский, со стороны здания по ул. 9 мая 12</t>
  </si>
  <si>
    <t>KRS_BB53</t>
  </si>
  <si>
    <t>Копылова - Ленина, 158/1 (ситиборд, 3,7 х 2,7, призматрон)</t>
  </si>
  <si>
    <t>KRS_SB343</t>
  </si>
  <si>
    <t>Копылова - Ленина, 158/1 (ситиборд, 3,9 х 2,9 )</t>
  </si>
  <si>
    <t>Копылова 12 (суперборд 12*4)</t>
  </si>
  <si>
    <t>KRS_SS2</t>
  </si>
  <si>
    <t>Копылова 12 (суперборд 12*4)</t>
  </si>
  <si>
    <t>Копылова 17, остановка Копыловский мост</t>
  </si>
  <si>
    <t>KRS_CF34</t>
  </si>
  <si>
    <t>KRS_CF34</t>
  </si>
  <si>
    <t>Копылова 40, остановка</t>
  </si>
  <si>
    <t>KRS_CF35</t>
  </si>
  <si>
    <t>KRS_CF35</t>
  </si>
  <si>
    <t>Копылова 66</t>
  </si>
  <si>
    <t>KRS_BB341</t>
  </si>
  <si>
    <t>KRS_BB341</t>
  </si>
  <si>
    <t>Копылова 70</t>
  </si>
  <si>
    <t>KRS_BB200</t>
  </si>
  <si>
    <t>Копылова 72</t>
  </si>
  <si>
    <t>KRS_MB9</t>
  </si>
  <si>
    <t>Копылова 72, остановка</t>
  </si>
  <si>
    <t>KRS_CF36</t>
  </si>
  <si>
    <t>Копылова, 70</t>
  </si>
  <si>
    <t>Копылова, 74 метра от пересечения с ул. Робеспьера (ситиборд 3.7х2.7, призматрон)</t>
  </si>
  <si>
    <t>KRS_SB342</t>
  </si>
  <si>
    <t>Копылова, 74 метра от пересечения с ул. Робеспьера</t>
  </si>
  <si>
    <t>KRS_BB342</t>
  </si>
  <si>
    <t>Копылова, с юго-восточной стороны здания по ул. Республики, 51, стр. 1</t>
  </si>
  <si>
    <t xml:space="preserve"> KRS_CFU1</t>
  </si>
  <si>
    <t>Королева, 11</t>
  </si>
  <si>
    <t>KRS_CF259</t>
  </si>
  <si>
    <t>KRS_CF259 В</t>
  </si>
  <si>
    <t>Котельникова 16а</t>
  </si>
  <si>
    <t>KRS_BB516</t>
  </si>
  <si>
    <t>Котельникова 33</t>
  </si>
  <si>
    <t>KRS_BB517</t>
  </si>
  <si>
    <t>Котельникова пр-т, 29/1 (Въезд в город)</t>
  </si>
  <si>
    <t>KRS_BB212</t>
  </si>
  <si>
    <t>Котельникова пр-т, 29/1 (Выезд из города)</t>
  </si>
  <si>
    <t>Котельникова пр-т, 9, стр. 1,  позиция 1</t>
  </si>
  <si>
    <t>KRS_BB208</t>
  </si>
  <si>
    <t>Котельникова пр-т, 9, стр. 1, позиция 1</t>
  </si>
  <si>
    <t>KRS_BB208</t>
  </si>
  <si>
    <t>Котельникова пр-т, 9, стр.1, позиция 2</t>
  </si>
  <si>
    <t>KRS_BB579</t>
  </si>
  <si>
    <t>Крайняя 14/1</t>
  </si>
  <si>
    <t>KRS_BB242</t>
  </si>
  <si>
    <t>Крайняя 2</t>
  </si>
  <si>
    <t>KRS_BB240</t>
  </si>
  <si>
    <t>Крайняя, со стороны северо-запад фасада дома по Северному проезду, 9</t>
  </si>
  <si>
    <t>KRS_BB241</t>
  </si>
  <si>
    <t>Красная площадь 1, остановка</t>
  </si>
  <si>
    <t>KRS_CF120</t>
  </si>
  <si>
    <t>Красная площадь 3а, 1-ая остановка</t>
  </si>
  <si>
    <t>KRS_CF121</t>
  </si>
  <si>
    <t>Красная площадь 3а, 2-ая остановка</t>
  </si>
  <si>
    <t>KRS_CF122</t>
  </si>
  <si>
    <t>Краснодарская 15, остановка</t>
  </si>
  <si>
    <t>KRS_CF171</t>
  </si>
  <si>
    <t>KRS_CF171</t>
  </si>
  <si>
    <t>Краснодарская 20, остановка</t>
  </si>
  <si>
    <t>KRS_CF244</t>
  </si>
  <si>
    <t>KRS_CF244</t>
  </si>
  <si>
    <t>Краснодарская 3, остановка Краснодарская</t>
  </si>
  <si>
    <t>KRS_CF204</t>
  </si>
  <si>
    <t>KRS_CF204</t>
  </si>
  <si>
    <t>Краснодарская 34, остановка Армейская</t>
  </si>
  <si>
    <t>KRS_CF245</t>
  </si>
  <si>
    <t>KRS_CF245</t>
  </si>
  <si>
    <t>Краснодарская 9, остановка</t>
  </si>
  <si>
    <t>KRS_CF170</t>
  </si>
  <si>
    <t>KRS_CF170</t>
  </si>
  <si>
    <t>Красной Армии 109, в пересечении 1905 года</t>
  </si>
  <si>
    <t>KRS_BB340</t>
  </si>
  <si>
    <t>Красной Армии 109, остановка, (забор!)</t>
  </si>
  <si>
    <t>KRS_CF37</t>
  </si>
  <si>
    <t>Красной Армии 109, остановка</t>
  </si>
  <si>
    <t>KRS_CF37.</t>
  </si>
  <si>
    <t>Красной Армии 121, остановка</t>
  </si>
  <si>
    <t>KRS_CF38</t>
  </si>
  <si>
    <t>Красной Армии перекрёсток с Партизанской 31а</t>
  </si>
  <si>
    <t>KRS_BB574</t>
  </si>
  <si>
    <t>Красной Армии, напротив дома по ул. Волочаевской 44</t>
  </si>
  <si>
    <t>KRS_BB575</t>
  </si>
  <si>
    <t>KRS_DBB11</t>
  </si>
  <si>
    <t>Красной Армии, перекрёсток с Партизанской 31а</t>
  </si>
  <si>
    <t>KRS_DBB10</t>
  </si>
  <si>
    <t>Красномосковская 19, остановка</t>
  </si>
  <si>
    <t>KRS_CF288</t>
  </si>
  <si>
    <t>Красномосковская 34, остановка</t>
  </si>
  <si>
    <t>KRS_CF289</t>
  </si>
  <si>
    <t>Красномосковская 40, остановка</t>
  </si>
  <si>
    <t>KRS_CF290</t>
  </si>
  <si>
    <t>Красноярский рабочий 107</t>
  </si>
  <si>
    <t>KRS_MB12</t>
  </si>
  <si>
    <t>Красноярский рабочий 116а</t>
  </si>
  <si>
    <t>KRS_MB17</t>
  </si>
  <si>
    <t>Красноярский рабочий 120</t>
  </si>
  <si>
    <t>KRS_MB13</t>
  </si>
  <si>
    <t>Красноярский рабочий 122, 2-я остановка ТЦ Красноярье</t>
  </si>
  <si>
    <t>KRS_CF13</t>
  </si>
  <si>
    <t>Красноярский рабочий 127, остановка Затон</t>
  </si>
  <si>
    <t>KRS_CF231</t>
  </si>
  <si>
    <t>KRS_CF231</t>
  </si>
  <si>
    <t>Красноярский рабочий 143а, остановка Цирк</t>
  </si>
  <si>
    <t>KRS_CF280</t>
  </si>
  <si>
    <t>Красноярский рабочий 144а</t>
  </si>
  <si>
    <t>KRS_MB32</t>
  </si>
  <si>
    <t>Красноярский рабочий 144а/1, остановка ТЮЗ</t>
  </si>
  <si>
    <t>KRS_CF14</t>
  </si>
  <si>
    <t>Красноярский рабочий 150 г</t>
  </si>
  <si>
    <t>KRS_CF15</t>
  </si>
  <si>
    <t>Красноярский рабочий 150 ж (остановка)</t>
  </si>
  <si>
    <t>KRS_CF155.</t>
  </si>
  <si>
    <t>Красноярский рабочий 150 ж</t>
  </si>
  <si>
    <t>Красноярский рабочий 150 ж¶</t>
  </si>
  <si>
    <t>Красноярский рабочий 157</t>
  </si>
  <si>
    <t>KRS_CF44</t>
  </si>
  <si>
    <t>Красноярский рабочий 160, стр. 4, остановка Правый берег</t>
  </si>
  <si>
    <t>KRS_CF353</t>
  </si>
  <si>
    <t>Красноярский рабочий 160а</t>
  </si>
  <si>
    <t>KRS_CF45</t>
  </si>
  <si>
    <t>Красноярский рабочий 163</t>
  </si>
  <si>
    <t>KRS_MB15</t>
  </si>
  <si>
    <t>Красноярский рабочий 165, остановка Юбилейный</t>
  </si>
  <si>
    <t>KRS_CF310</t>
  </si>
  <si>
    <t>Красноярский рабочий 166, остановка "Юбилейный"</t>
  </si>
  <si>
    <t>KRS_CF47</t>
  </si>
  <si>
    <t>KRS_CF47.</t>
  </si>
  <si>
    <t>Красноярский рабочий 179</t>
  </si>
  <si>
    <t>KRS_MB16</t>
  </si>
  <si>
    <t>Красноярский рабочий 180, остановка Предмостная площадь, 1-ая остановка</t>
  </si>
  <si>
    <t>KRS_CF48</t>
  </si>
  <si>
    <t>KRS_CF48</t>
  </si>
  <si>
    <t>Красноярский рабочий 180, остановка Предмостная площадь, 2-ая остановка</t>
  </si>
  <si>
    <t>KRS_CF49</t>
  </si>
  <si>
    <t>Красноярский рабочий 18а, остановка Крастэц</t>
  </si>
  <si>
    <t>KRS_CF17</t>
  </si>
  <si>
    <t>Красноярский рабочий 195</t>
  </si>
  <si>
    <t>KRS_MB14</t>
  </si>
  <si>
    <t>Красноярский рабочий 24, остановка Крылова</t>
  </si>
  <si>
    <t>KRS_CF270</t>
  </si>
  <si>
    <t>Красноярский рабочий 27, остановка Каменный квартал</t>
  </si>
  <si>
    <t>KRS_CF0193</t>
  </si>
  <si>
    <t>KRS_CF193</t>
  </si>
  <si>
    <t>Красноярский рабочий 29/1, остановка ДК 1 мая</t>
  </si>
  <si>
    <t>KRS_CF190</t>
  </si>
  <si>
    <t>KRS_CF190</t>
  </si>
  <si>
    <t>Красноярский рабочий 30, напротив остановка Хлебозавод</t>
  </si>
  <si>
    <t>KRS_CF191</t>
  </si>
  <si>
    <t>KRS_CF191</t>
  </si>
  <si>
    <t>Красноярский рабочий 30, остановка Хлебозавод</t>
  </si>
  <si>
    <t>KRS_CF205</t>
  </si>
  <si>
    <t>KRS_CF205</t>
  </si>
  <si>
    <t>Красноярский рабочий 46, остановка ДК 1 мая</t>
  </si>
  <si>
    <t>KRS_CF206</t>
  </si>
  <si>
    <t>Красноярский рабочий 47</t>
  </si>
  <si>
    <t>KRS_MB11</t>
  </si>
  <si>
    <t>Красноярский рабочий 61, 1-я конструкция от юго-западного фасада здания</t>
  </si>
  <si>
    <t>KRS_CF19</t>
  </si>
  <si>
    <t>Красноярский рабочий 65, остановка Детская библиотека</t>
  </si>
  <si>
    <t>KRS_CF238.</t>
  </si>
  <si>
    <t>KRS_CF238</t>
  </si>
  <si>
    <t>Красноярский рабочий 71</t>
  </si>
  <si>
    <t>KRS_CF10</t>
  </si>
  <si>
    <t>Красноярский рабочий 7а, остановка Крастэц</t>
  </si>
  <si>
    <t>KRS_CF16</t>
  </si>
  <si>
    <t>Красноярский рабочий 80, остановка Возрождение</t>
  </si>
  <si>
    <t>KRS_CF174</t>
  </si>
  <si>
    <t>Красноярский рабочий 81, остановка Родина</t>
  </si>
  <si>
    <t>KRS_CF268</t>
  </si>
  <si>
    <t>Красноярский рабочий 84, 1-я конструкция от северо-восточного фасада здания</t>
  </si>
  <si>
    <t>KRS_CF20</t>
  </si>
  <si>
    <t>Красноярский рабочий 84, 2-я конструкция от северо-восточного фасада здания</t>
  </si>
  <si>
    <t>KRS_CF21</t>
  </si>
  <si>
    <t>Красноярский рабочий 90</t>
  </si>
  <si>
    <t>KRS_CF18</t>
  </si>
  <si>
    <t>Красноярский рабочий 93, остановка</t>
  </si>
  <si>
    <t>KRS_CF332</t>
  </si>
  <si>
    <t>Красноярский рабочий 94</t>
  </si>
  <si>
    <t>KRS_CF11</t>
  </si>
  <si>
    <t>Красноярский рабочий 95, остановка Торговый центр</t>
  </si>
  <si>
    <t>KRS_CF269</t>
  </si>
  <si>
    <t>Красноярский Рабочий, 111</t>
  </si>
  <si>
    <t>KRS_BB290</t>
  </si>
  <si>
    <t>Красноярский Рабочий, 126 г</t>
  </si>
  <si>
    <t>KRS_BB291</t>
  </si>
  <si>
    <t>Красноярский Рабочий, 144а/1</t>
  </si>
  <si>
    <t>KRS_BB292</t>
  </si>
  <si>
    <t>Красноярский Рабочий, 155</t>
  </si>
  <si>
    <t>KRS_BB143</t>
  </si>
  <si>
    <t>Красноярский Рабочий, 156</t>
  </si>
  <si>
    <t>KRS_BB144</t>
  </si>
  <si>
    <t>KRS_BB144</t>
  </si>
  <si>
    <t>Красноярский рабочий, 162г, остановка</t>
  </si>
  <si>
    <t>KRS_CF46</t>
  </si>
  <si>
    <t>Красноярский Рабочий, 176Г</t>
  </si>
  <si>
    <t>KRS_BB145</t>
  </si>
  <si>
    <t>Красноярский Рабочий, 176Ж</t>
  </si>
  <si>
    <t>KRS_BB146</t>
  </si>
  <si>
    <t>Красноярский Рабочий, 181</t>
  </si>
  <si>
    <t>KRS_BB147</t>
  </si>
  <si>
    <t>Красноярский Рабочий, 181</t>
  </si>
  <si>
    <t>Красноярский рабочий, 195, 1-я конструкция Остановка</t>
  </si>
  <si>
    <t>KRS_CF50</t>
  </si>
  <si>
    <t>Красноярский рабочий, 195</t>
  </si>
  <si>
    <t>KRS_CF73</t>
  </si>
  <si>
    <t>Красноярский Рабочий, 26 перед остановкой</t>
  </si>
  <si>
    <t>KRS_BB244</t>
  </si>
  <si>
    <t>Красноярский Рабочий, 26</t>
  </si>
  <si>
    <t>KRS_BB245</t>
  </si>
  <si>
    <t>Красноярский Рабочий, 32 напротив, въезд</t>
  </si>
  <si>
    <t>KRS_BB246</t>
  </si>
  <si>
    <t>Красноярский Рабочий, 32 напротив, выезд</t>
  </si>
  <si>
    <t>Красноярский Рабочий, 34 напротив</t>
  </si>
  <si>
    <t>KRS_BB248</t>
  </si>
  <si>
    <t>Красноярский Рабочий, 34</t>
  </si>
  <si>
    <t>KRS_BB247</t>
  </si>
  <si>
    <t>Красноярский Рабочий, 36 напротив</t>
  </si>
  <si>
    <t>KRS_BB249</t>
  </si>
  <si>
    <t>Красноярский Рабочий, 38 напротив</t>
  </si>
  <si>
    <t>KRS_BB250</t>
  </si>
  <si>
    <t>Красноярский Рабочий, 40 напротив</t>
  </si>
  <si>
    <t>KRS_BB251</t>
  </si>
  <si>
    <t>Красноярский Рабочий, 48, въезд</t>
  </si>
  <si>
    <t>KRS_BB252</t>
  </si>
  <si>
    <t>Красноярский Рабочий, 48, выезд</t>
  </si>
  <si>
    <t>Красноярский Рабочий, 50</t>
  </si>
  <si>
    <t>KRS_BB253</t>
  </si>
  <si>
    <t>Красноярский Рабочий, 54, въезд</t>
  </si>
  <si>
    <t>KRS_BB254</t>
  </si>
  <si>
    <t>Красноярский Рабочий, 54, выезд</t>
  </si>
  <si>
    <t>Красноярский Рабочий, 93</t>
  </si>
  <si>
    <t>KRS_BB289</t>
  </si>
  <si>
    <t>KRS_BB289</t>
  </si>
  <si>
    <t>Кузнецовское плато, Алеши Тимошенкова, остановка Сады-2 (Кузнецовское плато) при движении в город</t>
  </si>
  <si>
    <t>KRS_BB283</t>
  </si>
  <si>
    <t>Кузнецовское плато, Алеши Тимошенкова, остановка Сады-2 (Кузнецовское плато) при движении из города</t>
  </si>
  <si>
    <t>Кузнецовское плато, от улицы Алеши Тимошенкова до границы города, 1-я конструкция от проезда к ул. Куйсумской</t>
  </si>
  <si>
    <t>KRS_BB285</t>
  </si>
  <si>
    <t>Кузнецовское плато, от улицы Алеши Тимошенкова до границы города, 2-я конструкция от проезда к ул. Куйсумской</t>
  </si>
  <si>
    <t>KRS_BB286</t>
  </si>
  <si>
    <t>Кузнецовское плато, от улицы Алеши Тимошенкова до границы города, 3-я конструкция от проезда к ул. Куйсумской</t>
  </si>
  <si>
    <t>KRS_BB287</t>
  </si>
  <si>
    <t>Кузнецовское плато, от улицы Алеши Тимошенкова до границы города, 4-я конструкция от проезда к ул. Куйсумской</t>
  </si>
  <si>
    <t>KRS_BB288</t>
  </si>
  <si>
    <t>Кузнецовское плато, справа при движении от границы города, 2-я конструкция</t>
  </si>
  <si>
    <t>KRS_BB556</t>
  </si>
  <si>
    <t>Кузнецовское плато, улица Алеши Тимошенкова (База строительных материалов)</t>
  </si>
  <si>
    <t>KRS_BB284</t>
  </si>
  <si>
    <t>Кузнецовское плато, улица Алеши Тимошенкова (База строительных материалов), въезд в город</t>
  </si>
  <si>
    <t>Ладо Кецховели 28, остановка</t>
  </si>
  <si>
    <t>KRS_CF260</t>
  </si>
  <si>
    <t>Ладо Кецховели 31</t>
  </si>
  <si>
    <t>KRS_BB337</t>
  </si>
  <si>
    <t>Ладо Кецховели 31</t>
  </si>
  <si>
    <t>KRS_BB337</t>
  </si>
  <si>
    <t>Ладо Кецховели 65а, остановка Николаевская Слобода</t>
  </si>
  <si>
    <t>KRS_CF261</t>
  </si>
  <si>
    <t>Ладо Кецховели, напротив здания по ул. Техническая, 2б</t>
  </si>
  <si>
    <t>KRS_BB339</t>
  </si>
  <si>
    <t>KRS_BB339</t>
  </si>
  <si>
    <t>Ленина 149</t>
  </si>
  <si>
    <t>KRS_MB23</t>
  </si>
  <si>
    <t>Ленина 1г, остановка Китай город</t>
  </si>
  <si>
    <t>KRS_CF135</t>
  </si>
  <si>
    <t>Ленина 35</t>
  </si>
  <si>
    <t>KRS_MB24</t>
  </si>
  <si>
    <t>Лесная 130 напротив, остановка Санаторий</t>
  </si>
  <si>
    <t>KRS_CF143</t>
  </si>
  <si>
    <t>Лесная 130, остановка Санаторий</t>
  </si>
  <si>
    <t>KRS_CF144.</t>
  </si>
  <si>
    <t>KRS_CF144</t>
  </si>
  <si>
    <t>Лесная 169, остановка Сосны</t>
  </si>
  <si>
    <t>KRS_CF145</t>
  </si>
  <si>
    <t>Лесная 169, остановка Сосны, напротив</t>
  </si>
  <si>
    <t>KRS_CF149</t>
  </si>
  <si>
    <t>Лесная 279, остановка СПХ Удачный</t>
  </si>
  <si>
    <t>KRS_CF321</t>
  </si>
  <si>
    <t>Лесная 37, остановка 1-ый дом Отдыха</t>
  </si>
  <si>
    <t>KRS_CF328</t>
  </si>
  <si>
    <t>Лесная 66, остановка Живописная 3</t>
  </si>
  <si>
    <t>KRS_CF148</t>
  </si>
  <si>
    <t>Лесная 66, остановка Живописная</t>
  </si>
  <si>
    <t>KRS_CF142</t>
  </si>
  <si>
    <t>Лесная 85, напротив, остановка станция Южная</t>
  </si>
  <si>
    <t>KRS_CF265</t>
  </si>
  <si>
    <t>Лесная 85, остановка станция Южная</t>
  </si>
  <si>
    <t>KRS_CF266</t>
  </si>
  <si>
    <t>Лесная, 147</t>
  </si>
  <si>
    <t>KRS_BB552</t>
  </si>
  <si>
    <t>Лесная, остановка Рыбзавод</t>
  </si>
  <si>
    <t>KRS_CF319</t>
  </si>
  <si>
    <t>Лесная, остановка Счастливая</t>
  </si>
  <si>
    <t>KRS_CF320</t>
  </si>
  <si>
    <t>Лесопарковая, на противоположной стороне дороги от здания Курчатова 17 "БСМП"</t>
  </si>
  <si>
    <t>KRS_BB235</t>
  </si>
  <si>
    <t>Лесопарковая, напротив здания по проспекту Свободный 64ж, остановка</t>
  </si>
  <si>
    <t>KRS_CF230</t>
  </si>
  <si>
    <t>KRS_CF230.</t>
  </si>
  <si>
    <t>Лесопарковая, напротив остановка ГПТУ</t>
  </si>
  <si>
    <t>KRS_CF229</t>
  </si>
  <si>
    <t>KRS_CF229</t>
  </si>
  <si>
    <t>Лесопарковая, остановка БСМП</t>
  </si>
  <si>
    <t>KRS_CF278</t>
  </si>
  <si>
    <t>Лесопарковая, остановка ГПТУ</t>
  </si>
  <si>
    <t>KRS_CF228</t>
  </si>
  <si>
    <t>Маерчака 119</t>
  </si>
  <si>
    <t>KRS_BB581</t>
  </si>
  <si>
    <t>Маерчака 22, остановка</t>
  </si>
  <si>
    <t>KRS_CF4</t>
  </si>
  <si>
    <t>Маерчака 31, остановка</t>
  </si>
  <si>
    <t>KRS_CF5</t>
  </si>
  <si>
    <t>Маерчака 44</t>
  </si>
  <si>
    <t>KRS_BB345</t>
  </si>
  <si>
    <t>Маерчака 65Д</t>
  </si>
  <si>
    <t>KRS_MB29</t>
  </si>
  <si>
    <t>Маерчака 9, остановка БЦ Баланс</t>
  </si>
  <si>
    <t>KRS_CF3</t>
  </si>
  <si>
    <t>Маерчака, 1, пересечение с ул. Республики (ситиборд, 4,4 х3,4 )</t>
  </si>
  <si>
    <t>KRS_SB344</t>
  </si>
  <si>
    <t>Мате Залки 33</t>
  </si>
  <si>
    <t>KRS_BB72</t>
  </si>
  <si>
    <t>Матросова 11</t>
  </si>
  <si>
    <t>KRS_BB138</t>
  </si>
  <si>
    <t>Матросова 14, остановка</t>
  </si>
  <si>
    <t>KRS_CF52</t>
  </si>
  <si>
    <t>Матросова 15, остановка Монтажный колледж</t>
  </si>
  <si>
    <t>KRS_CF357</t>
  </si>
  <si>
    <t>Матросова 20, остановка Монтажный колледж</t>
  </si>
  <si>
    <t>KRS_CF358</t>
  </si>
  <si>
    <t>Матросова 21, остановка Заводская</t>
  </si>
  <si>
    <t>KRS_CF359</t>
  </si>
  <si>
    <t>Матросова 26д, остановка Заводская</t>
  </si>
  <si>
    <t>KRS_CF360</t>
  </si>
  <si>
    <t>Металлургов 12</t>
  </si>
  <si>
    <t>KRS_BB78</t>
  </si>
  <si>
    <t>Металлургов 13а</t>
  </si>
  <si>
    <t>KRS_BB550</t>
  </si>
  <si>
    <t>Металлургов 14</t>
  </si>
  <si>
    <t>KRS_BB79</t>
  </si>
  <si>
    <t>Металлургов 17</t>
  </si>
  <si>
    <t>KRS_BB80</t>
  </si>
  <si>
    <t>Металлургов 1б</t>
  </si>
  <si>
    <t>KRS_BB74</t>
  </si>
  <si>
    <t>Металлургов 1ж, стр 5</t>
  </si>
  <si>
    <t>KRS_BB73</t>
  </si>
  <si>
    <t>Металлургов 26, остановка Дворец Труда</t>
  </si>
  <si>
    <t>KRS_CF212</t>
  </si>
  <si>
    <t>KRS_CF212</t>
  </si>
  <si>
    <t>Металлургов 27</t>
  </si>
  <si>
    <t>KRS_BB81</t>
  </si>
  <si>
    <t>Металлургов 2г</t>
  </si>
  <si>
    <t>KRS_BB75</t>
  </si>
  <si>
    <t>Металлургов 34, остановка Сергея Лазо</t>
  </si>
  <si>
    <t>KRS_CF213</t>
  </si>
  <si>
    <t>KRS_CF213</t>
  </si>
  <si>
    <t>Металлургов 38 (призматрон)</t>
  </si>
  <si>
    <t>KRS_BB82</t>
  </si>
  <si>
    <t>Металлургов 38, остановка Краснодарская</t>
  </si>
  <si>
    <t>KRS_CF201</t>
  </si>
  <si>
    <t>KRS_CF201</t>
  </si>
  <si>
    <t>Металлургов 47</t>
  </si>
  <si>
    <t>KRS_CF95</t>
  </si>
  <si>
    <t>Металлургов 5</t>
  </si>
  <si>
    <t>KRS_BB76</t>
  </si>
  <si>
    <t>Металлургов 53, остановка Сергея Лазо</t>
  </si>
  <si>
    <t>KRS_CF214</t>
  </si>
  <si>
    <t>Металлургов-ул. Ястынская (поворот с моста «777»)</t>
  </si>
  <si>
    <t>KRS_BB83</t>
  </si>
  <si>
    <t>Мира, 18</t>
  </si>
  <si>
    <t>KRS_CF124</t>
  </si>
  <si>
    <t>Мира, 27</t>
  </si>
  <si>
    <t>KRS_CF125</t>
  </si>
  <si>
    <t>Мира, 30</t>
  </si>
  <si>
    <t>KRS_CF126</t>
  </si>
  <si>
    <t>Михаила Годенко 6, останвока</t>
  </si>
  <si>
    <t>KRS_CF32.</t>
  </si>
  <si>
    <t>Михаила Годенко 6, остановка</t>
  </si>
  <si>
    <t>KRS_CF32</t>
  </si>
  <si>
    <t>Михаила Годенко 7, остановка</t>
  </si>
  <si>
    <t>KRS_CF33</t>
  </si>
  <si>
    <t>Михаила Годенко, после пересечения с ул. Кравченко</t>
  </si>
  <si>
    <t>KRS_BB237</t>
  </si>
  <si>
    <t>Мичурина 1, въезд на Октябрьский мост (суперборд 12*4)</t>
  </si>
  <si>
    <t>KRS_SS8</t>
  </si>
  <si>
    <t>Мичурина 2е</t>
  </si>
  <si>
    <t>KRS_MB18</t>
  </si>
  <si>
    <t>Мичурина 30г (АЗС Газпромнефть)</t>
  </si>
  <si>
    <t>KRS_MB19</t>
  </si>
  <si>
    <t>Мичурина 3В, остановка</t>
  </si>
  <si>
    <t>KRS_CF219</t>
  </si>
  <si>
    <t>KRS_CF219</t>
  </si>
  <si>
    <t>Мичурина 57</t>
  </si>
  <si>
    <t>KRS_CF22</t>
  </si>
  <si>
    <t>Мичурина 59</t>
  </si>
  <si>
    <t>KRS_CF23</t>
  </si>
  <si>
    <t>Мичурина 63 напротив, остановка Сибсталь</t>
  </si>
  <si>
    <t>KRS_CF102.</t>
  </si>
  <si>
    <t>KRS_CF284</t>
  </si>
  <si>
    <t>Мичурина 65, остановка Учкомбинат</t>
  </si>
  <si>
    <t>KRS_CF285</t>
  </si>
  <si>
    <t>Мичурина, 14 ситиборд (4,4м*3,4м)</t>
  </si>
  <si>
    <t>KRS_SB258</t>
  </si>
  <si>
    <t>Мичурина, 18</t>
  </si>
  <si>
    <t>KRS_BB259</t>
  </si>
  <si>
    <t>Мичурина, 23 (ситиборд 4,4*3,4)</t>
  </si>
  <si>
    <t>KRS_BB313</t>
  </si>
  <si>
    <t>Мичурина, 2а (ситиборд 4.4м*3.4м)</t>
  </si>
  <si>
    <t>KRS_SB255</t>
  </si>
  <si>
    <t>Мичурина, 2е на противоположной стороне дороги</t>
  </si>
  <si>
    <t>KRS_BB257</t>
  </si>
  <si>
    <t>KRS_BB2571</t>
  </si>
  <si>
    <t>KRS_BB2572</t>
  </si>
  <si>
    <t>KRS_BB2573</t>
  </si>
  <si>
    <t>Мичурина, 35</t>
  </si>
  <si>
    <t>KRS_BB322</t>
  </si>
  <si>
    <t>Мичурина, 49 (ситиборд 2,7*3,7) РА Экран</t>
  </si>
  <si>
    <t>KRS_SB315</t>
  </si>
  <si>
    <t>Мичурина, 49 (ситиборд 2,7*3,7)</t>
  </si>
  <si>
    <t>KRS_SB314</t>
  </si>
  <si>
    <t>Мичурина, 49 (ситиборд 2,9*3,9) РА Экран</t>
  </si>
  <si>
    <t>Мичурина, 53 (ситиборд 4,4*3,4)</t>
  </si>
  <si>
    <t>KRS_SB316</t>
  </si>
  <si>
    <t>Мичурина, 55</t>
  </si>
  <si>
    <t>KRS_BB317</t>
  </si>
  <si>
    <t>Мичурина, 63</t>
  </si>
  <si>
    <t>KRS_BB319</t>
  </si>
  <si>
    <t>KRS_BB319</t>
  </si>
  <si>
    <t>Мичурина, 65</t>
  </si>
  <si>
    <t>KRS_BB320</t>
  </si>
  <si>
    <t>KRS_BB320</t>
  </si>
  <si>
    <t>Молокова 1/1к, остановка Городок</t>
  </si>
  <si>
    <t>KRS_CF109</t>
  </si>
  <si>
    <t>KRS_CF109</t>
  </si>
  <si>
    <t>Молокова 1/4</t>
  </si>
  <si>
    <t>KRS_CF110</t>
  </si>
  <si>
    <t>Молокова 1Г, остановка Иннокетьевский</t>
  </si>
  <si>
    <t>KRS_CF202</t>
  </si>
  <si>
    <t>KRS_CF202</t>
  </si>
  <si>
    <t>Молокова 3, остановка Городок</t>
  </si>
  <si>
    <t>KRS_CF282</t>
  </si>
  <si>
    <t>Молокова 39</t>
  </si>
  <si>
    <t>KRS_CF108</t>
  </si>
  <si>
    <t>Молокова 40</t>
  </si>
  <si>
    <t>KRS_CF112</t>
  </si>
  <si>
    <t>Молокова 40, остановка Школа Искусств</t>
  </si>
  <si>
    <t>KRS_CF315</t>
  </si>
  <si>
    <t>Молокова 46</t>
  </si>
  <si>
    <t>KRS_MB3</t>
  </si>
  <si>
    <t>Молокова 5, остановка</t>
  </si>
  <si>
    <t>KRS_CF151</t>
  </si>
  <si>
    <t>KRS_CF151</t>
  </si>
  <si>
    <t>Молокова 60</t>
  </si>
  <si>
    <t>KRS_MB4</t>
  </si>
  <si>
    <t>Молокова 66</t>
  </si>
  <si>
    <t>KRS_CF113</t>
  </si>
  <si>
    <t>Молокова со стороны 78 добровольческой бригады 15 (1,5х1,5м. БЕЗ люверсов)</t>
  </si>
  <si>
    <t>1,5 X 1,5 м</t>
  </si>
  <si>
    <t>KRS_ST1</t>
  </si>
  <si>
    <t>Молокова со стороны 78 добровольческой бригады 15, 2-ая рк</t>
  </si>
  <si>
    <t>KRS_ST3</t>
  </si>
  <si>
    <t>Молокова, 16, остановка общественного транспорта " Молокова", напротив</t>
  </si>
  <si>
    <t>KRS_CF203</t>
  </si>
  <si>
    <t>Молокова, 19, остановка общественного транспорта «Подстанция»</t>
  </si>
  <si>
    <t>KRS_CF111</t>
  </si>
  <si>
    <t>Монтажников 49а</t>
  </si>
  <si>
    <t>KRS_BB560</t>
  </si>
  <si>
    <t>Монтажников 63, остановка Водников</t>
  </si>
  <si>
    <t>KRS_CF101.</t>
  </si>
  <si>
    <t>KRS_CF283</t>
  </si>
  <si>
    <t>Монтажников, 63</t>
  </si>
  <si>
    <t>KRS_BB559</t>
  </si>
  <si>
    <t>Монтажников, 63а, 1-я конструкция</t>
  </si>
  <si>
    <t>KRS_BB553</t>
  </si>
  <si>
    <t>Монтажников, 63а, 2-я конструкция</t>
  </si>
  <si>
    <t>KRS_BB557</t>
  </si>
  <si>
    <t>Монтажников, пересечение с ул. Грунтовой</t>
  </si>
  <si>
    <t>KRS_BB561</t>
  </si>
  <si>
    <t>Московская 9, остановка</t>
  </si>
  <si>
    <t>KRS_CF356</t>
  </si>
  <si>
    <t>Мужества 18 (суперборд 11,5*4)</t>
  </si>
  <si>
    <t>KRS_SS9</t>
  </si>
  <si>
    <t>Мужества 47, остановка 7-й микрорайон</t>
  </si>
  <si>
    <t>KRS_CF233</t>
  </si>
  <si>
    <t>Мужества, 21</t>
  </si>
  <si>
    <t>KRS_BB363</t>
  </si>
  <si>
    <t>Мужества, 21, в ст. Шахтеров</t>
  </si>
  <si>
    <t>KRS_BB363 А1</t>
  </si>
  <si>
    <t>KRS_BB363 А2</t>
  </si>
  <si>
    <t>KRS_BB363 А3</t>
  </si>
  <si>
    <t>Мужества, 21/1, в ст. Шахтеров</t>
  </si>
  <si>
    <t>KRS_BB364</t>
  </si>
  <si>
    <t>KRS_BB364</t>
  </si>
  <si>
    <t>Мужества, пересечение с ул. Сосновского</t>
  </si>
  <si>
    <t>KRS_BB365</t>
  </si>
  <si>
    <t>Мужества, пересечение с ул. Сосновского, в ст. Шахтеров</t>
  </si>
  <si>
    <t>KRS_DBB0003 - А1</t>
  </si>
  <si>
    <t>KRS_DBB0003 - А10</t>
  </si>
  <si>
    <t>KRS_DBB0003 - А11</t>
  </si>
  <si>
    <t>KRS_DBB0003 - А12</t>
  </si>
  <si>
    <t>KRS_DBB0003 - А2</t>
  </si>
  <si>
    <t>KRS_DBB0003 - А3</t>
  </si>
  <si>
    <t>KRS_DBB0003 - А4</t>
  </si>
  <si>
    <t>KRS_DBB0003 - А5</t>
  </si>
  <si>
    <t>KRS_DBB0003 - А6</t>
  </si>
  <si>
    <t>KRS_DBB0003 - А7</t>
  </si>
  <si>
    <t>KRS_DBB0003 - А8</t>
  </si>
  <si>
    <t>KRS_DBB0003 - А9</t>
  </si>
  <si>
    <t>Новосибирская 35</t>
  </si>
  <si>
    <t>KRS_MB10</t>
  </si>
  <si>
    <t>Новосибирская 39, остановка</t>
  </si>
  <si>
    <t>KRS_CF153</t>
  </si>
  <si>
    <t>Новосибирская 52, остановка</t>
  </si>
  <si>
    <t>KRS_CF152</t>
  </si>
  <si>
    <t>Новосибирская 62, остановка АТС</t>
  </si>
  <si>
    <t>KRS_CF264</t>
  </si>
  <si>
    <t>Октябрьская 1, остановка</t>
  </si>
  <si>
    <t>KRS_CF114</t>
  </si>
  <si>
    <t>KRS_CF114</t>
  </si>
  <si>
    <t>Октябрьская 10а, остановка МВДЦ Сибирь</t>
  </si>
  <si>
    <t>KRS_CF178</t>
  </si>
  <si>
    <t>KRS_CF178</t>
  </si>
  <si>
    <t>Октябрьская 12, остановка МВДЦ Сибирь</t>
  </si>
  <si>
    <t>KRS_CF116</t>
  </si>
  <si>
    <t>Октябрьская 2а, остановка Рынок</t>
  </si>
  <si>
    <t>KRS_CF115</t>
  </si>
  <si>
    <t>Октябрьская 7</t>
  </si>
  <si>
    <t>KRS_MB5</t>
  </si>
  <si>
    <t>Октябрьская со стороны восточного угла зданния по ул. Авиаторов 19</t>
  </si>
  <si>
    <t>KRS_BB86</t>
  </si>
  <si>
    <t>Октябрьская, напротив зд. по ул. Авиаторов 19 МВДЦ Сибирь</t>
  </si>
  <si>
    <t>KRS_CF76</t>
  </si>
  <si>
    <t>Октябрьский мост, Остров Татышев 1-ая остановка</t>
  </si>
  <si>
    <t>KRS_CF117</t>
  </si>
  <si>
    <t>Октябрьский мост, Остров Татышев 2-ая остановка</t>
  </si>
  <si>
    <t>KRS_CF118</t>
  </si>
  <si>
    <t>Октябрьский мост, Остров Татышев, по движению на левый берег, 1-ая остановка</t>
  </si>
  <si>
    <t>KRS_CF207</t>
  </si>
  <si>
    <t>Окябрьская со стороны восточного угла зданния по ул. Авиаторов 19</t>
  </si>
  <si>
    <t>Остров Татышев, 117 м до подземного перехода при движении на левый берег</t>
  </si>
  <si>
    <t>KRS_BB32</t>
  </si>
  <si>
    <t>Остров Татышев, 117 м до подземного перехода при движении на правый берег</t>
  </si>
  <si>
    <t>KRS_BB321</t>
  </si>
  <si>
    <t>Остров Татышев, 140 м до мостового сооружения при движении на левый берег</t>
  </si>
  <si>
    <t>KRS_BB29</t>
  </si>
  <si>
    <t>Остров Татышев, 140 м до мостового сооружения при движении на правый берег</t>
  </si>
  <si>
    <t>Остров Татышев, 162 м ¶ от мостового сооружения при движении на левый берег</t>
  </si>
  <si>
    <t>KRS_BB30</t>
  </si>
  <si>
    <t>Остров Татышев, 162 м ¶ от мостового сооружения при движении на левый берег</t>
  </si>
  <si>
    <t>Остров Татышев, 162 м ¶ от мостового сооружения при движении на правый берег</t>
  </si>
  <si>
    <t>Остров Татышев, 170м от подземного перехода при движении на левый берег</t>
  </si>
  <si>
    <t>KRS_BB31</t>
  </si>
  <si>
    <t>Остров Татышев, 170м от подземного перехода при движении на правый берег</t>
  </si>
  <si>
    <t>Партизана Железняка 17, остановка Авиагородок</t>
  </si>
  <si>
    <t>KRS_CF186</t>
  </si>
  <si>
    <t>KRS_CF186</t>
  </si>
  <si>
    <t>Партизана Железняка 25, остановка Арена Кристалл</t>
  </si>
  <si>
    <t>KRS_CF81</t>
  </si>
  <si>
    <t>Партизана Железняка 35а</t>
  </si>
  <si>
    <t>KRS_BB45</t>
  </si>
  <si>
    <t>KRS_BB45</t>
  </si>
  <si>
    <t>Партизана Железняка 35а, остановка Октябрьский мост</t>
  </si>
  <si>
    <t>KRS_CF82</t>
  </si>
  <si>
    <t>KRS_CF82</t>
  </si>
  <si>
    <t>Партизана Железняка 3а</t>
  </si>
  <si>
    <t>KRS_MB6</t>
  </si>
  <si>
    <t>Партизана Железняка 3в</t>
  </si>
  <si>
    <t>KRS_DBB01 - А1</t>
  </si>
  <si>
    <t>KRS_DBB0001 - А10</t>
  </si>
  <si>
    <t>KRS_DBB0001 - А11</t>
  </si>
  <si>
    <t>KRS_DBB0001 - А12</t>
  </si>
  <si>
    <t>KRS_DBB0001 - А2</t>
  </si>
  <si>
    <t>KRS_DBB0001 - А3</t>
  </si>
  <si>
    <t>KRS_DBB0001 - А4</t>
  </si>
  <si>
    <t>KRS_DBB0001 - А5</t>
  </si>
  <si>
    <t>KRS_DBB0001 - А6</t>
  </si>
  <si>
    <t>KRS_DBB0001 - А7</t>
  </si>
  <si>
    <t>KRS_DBB0001 - А8</t>
  </si>
  <si>
    <t>KRS_DBB0001 - А9</t>
  </si>
  <si>
    <t>KRS_BB44</t>
  </si>
  <si>
    <t>Партизана Железняка 40а, остановка Арена Кристалл</t>
  </si>
  <si>
    <t>KRS_CF83</t>
  </si>
  <si>
    <t>Партизана Железняка 46, остановка, Налоговая инспекция</t>
  </si>
  <si>
    <t>KRS_CF166</t>
  </si>
  <si>
    <t>KRS_CF166</t>
  </si>
  <si>
    <t>Партизана Железняка- Никитина 3о</t>
  </si>
  <si>
    <t>KRS_MB7</t>
  </si>
  <si>
    <t>Партизана Железняка, 11</t>
  </si>
  <si>
    <t>KRS_CF79</t>
  </si>
  <si>
    <t>Партизана Железняка, 12А, остановка "Краевая больница"</t>
  </si>
  <si>
    <t>KRS_CF154</t>
  </si>
  <si>
    <t>Партизана Железняка, 24</t>
  </si>
  <si>
    <t>KRS_CF80</t>
  </si>
  <si>
    <t>Партизана Железняка, 3Б остановка Краевая Больница</t>
  </si>
  <si>
    <t>KRS_CF77</t>
  </si>
  <si>
    <t>Партизана Железняка, 9</t>
  </si>
  <si>
    <t>KRS_CF78</t>
  </si>
  <si>
    <t>Партизана Железняка, в районе здания по ул. Краснодарской, 2</t>
  </si>
  <si>
    <t>KRS_DBB0002 - А1</t>
  </si>
  <si>
    <t>KRS_DBB0002 - А10</t>
  </si>
  <si>
    <t>KRS_DBB0002 - А11</t>
  </si>
  <si>
    <t>KRS_DBB0002 - А12</t>
  </si>
  <si>
    <t>KRS_DBB0002 - А2</t>
  </si>
  <si>
    <t>KRS_DBB0002 - А3</t>
  </si>
  <si>
    <t>KRS_DBB0002 - А4</t>
  </si>
  <si>
    <t>KRS_DBB0002 - А5</t>
  </si>
  <si>
    <t>KRS_DBB0002 - А6</t>
  </si>
  <si>
    <t>KRS_DBB0002 - А7</t>
  </si>
  <si>
    <t>KRS_DBB0002 - А8</t>
  </si>
  <si>
    <t>KRS_DBB0002 - А9</t>
  </si>
  <si>
    <t>KRS_BB43</t>
  </si>
  <si>
    <t>Партизана Железняка, съезд на Октябрьский мост</t>
  </si>
  <si>
    <t>KRS_BB42</t>
  </si>
  <si>
    <t>Перенсона 1, на противоположной стороне (ситиборд 4,4х3,4)</t>
  </si>
  <si>
    <t>KRS_SB354</t>
  </si>
  <si>
    <t>Перенсона 33, останвока Локомотив</t>
  </si>
  <si>
    <t>KRS_CF179</t>
  </si>
  <si>
    <t>KRS_CF179</t>
  </si>
  <si>
    <t>Пограничников 101 а</t>
  </si>
  <si>
    <t>KRS_MB8</t>
  </si>
  <si>
    <t>Пограничников 65 метров до поворота к СК Сокол</t>
  </si>
  <si>
    <t>KRS_BB94</t>
  </si>
  <si>
    <t>Пограничников улица, 1-я конструкция от пересечения с улицей Башиловской, при движении к проспекту Металлургов</t>
  </si>
  <si>
    <t>KRS_BB91</t>
  </si>
  <si>
    <t>Пограничников, 190 метров от проходной ОАО "КраМЗа"</t>
  </si>
  <si>
    <t>KRS_BB95</t>
  </si>
  <si>
    <t>Пограничников, 3-я конструкция от пересечения с ул. Башиловская, при движении к проспекту Металлургов</t>
  </si>
  <si>
    <t>KRS_BB93</t>
  </si>
  <si>
    <t>Пограничников, 50 (30 метров от АЗС, при движении к проспекту Металлургов)</t>
  </si>
  <si>
    <t>KRS_BB88</t>
  </si>
  <si>
    <t>Пограничников, 59 (на противоположной стороне)</t>
  </si>
  <si>
    <t>KRS_BB89</t>
  </si>
  <si>
    <t>Пограничников, 90 метров от проходной ОАО "КраМЗа"</t>
  </si>
  <si>
    <t>KRS_BB87</t>
  </si>
  <si>
    <t>Попова 14, остановка магазин Локомотив</t>
  </si>
  <si>
    <t>KRS_CF336</t>
  </si>
  <si>
    <t>Попова 4, остановка Северо-Западный</t>
  </si>
  <si>
    <t>KRS_CF334</t>
  </si>
  <si>
    <t>Попова 8в напротив, остановка магазин Локомотив</t>
  </si>
  <si>
    <t>KRS_CF335</t>
  </si>
  <si>
    <t>Профсоюзов 32, остановка Театр Музкомедии</t>
  </si>
  <si>
    <t>KRS_CF136</t>
  </si>
  <si>
    <t>Профсоюзов 56</t>
  </si>
  <si>
    <t>KRS_CF137</t>
  </si>
  <si>
    <t>Профсоюзов 60, остановка ЭВРЗ</t>
  </si>
  <si>
    <t>KRS_CF138</t>
  </si>
  <si>
    <t>Робеспьера 26, 1-ая конструкция, остановка</t>
  </si>
  <si>
    <t>KRS_CF139</t>
  </si>
  <si>
    <t>KRS_CF139</t>
  </si>
  <si>
    <t>Робеспьера 26, 2-ая конструкция, остановка</t>
  </si>
  <si>
    <t>KRS_CF140</t>
  </si>
  <si>
    <t>Свердловская 105, на противоположной стороне дороги</t>
  </si>
  <si>
    <t>KRS_BB189</t>
  </si>
  <si>
    <t>Свердловская 10а, остановка ДОК</t>
  </si>
  <si>
    <t>KRS_CF58</t>
  </si>
  <si>
    <t>KRS_CF58</t>
  </si>
  <si>
    <t>Свердловская 139, остановка "Базаиха"</t>
  </si>
  <si>
    <t>KRS_CF66</t>
  </si>
  <si>
    <t>Свердловская 140</t>
  </si>
  <si>
    <t>KRS_BB190</t>
  </si>
  <si>
    <t>Свердловская 141а, поворот на Бобровый лог</t>
  </si>
  <si>
    <t>KRS_CF67</t>
  </si>
  <si>
    <t>Свердловская 19, остановка Хлебозавод</t>
  </si>
  <si>
    <t>KRS_CF208</t>
  </si>
  <si>
    <t>Свердловская 193, напротив остановка Больница</t>
  </si>
  <si>
    <t>KRS_CF157</t>
  </si>
  <si>
    <t>KRS_CF157</t>
  </si>
  <si>
    <t>Свердловская 241, остановка Почта</t>
  </si>
  <si>
    <t>KRS_CF68</t>
  </si>
  <si>
    <t>KRS_CF68</t>
  </si>
  <si>
    <t>Свердловская 247, остановка Лалетино</t>
  </si>
  <si>
    <t>KRS_CF69</t>
  </si>
  <si>
    <t>KRS_CF69</t>
  </si>
  <si>
    <t>Свердловская 249, остановка</t>
  </si>
  <si>
    <t>KRS_CF158</t>
  </si>
  <si>
    <t>Свердловская 259, въезд</t>
  </si>
  <si>
    <t>KRS_BB193</t>
  </si>
  <si>
    <t>Свердловская 259, выезд</t>
  </si>
  <si>
    <t>Свердловская 261, напротив остановка Сад Крутовского</t>
  </si>
  <si>
    <t>KRS_CF211</t>
  </si>
  <si>
    <t>Свердловская 261, остановка Сад Крутовского</t>
  </si>
  <si>
    <t>KRS_CF210</t>
  </si>
  <si>
    <t>KRS_CF210</t>
  </si>
  <si>
    <t>Свердловская 273, въезд</t>
  </si>
  <si>
    <t>KRS_BB192</t>
  </si>
  <si>
    <t>Свердловская 273, выезд</t>
  </si>
  <si>
    <t>Свердловская 273, остановка Турбаза</t>
  </si>
  <si>
    <t>KRS_CF70</t>
  </si>
  <si>
    <t>Свердловская 291</t>
  </si>
  <si>
    <t>KRS_BB194</t>
  </si>
  <si>
    <t>Свердловская 291, напротив парка «Роев Ручей»</t>
  </si>
  <si>
    <t>KRS_BB195</t>
  </si>
  <si>
    <t>Свердловская 291, напротив парка «Роев Ручей»</t>
  </si>
  <si>
    <t>Свердловская 291, остановка Роев Ручей</t>
  </si>
  <si>
    <t>KRS_CF71</t>
  </si>
  <si>
    <t>KRS_CF71</t>
  </si>
  <si>
    <t>Свердловская 293, 2-ая конструкция</t>
  </si>
  <si>
    <t>KRS_BB197</t>
  </si>
  <si>
    <t>Свердловская 2б, напротив остановка</t>
  </si>
  <si>
    <t>KRS_CF240</t>
  </si>
  <si>
    <t>KRS_CF240</t>
  </si>
  <si>
    <t>Свердловская 2б, остановка</t>
  </si>
  <si>
    <t>KRS_CF239</t>
  </si>
  <si>
    <t>KRS_CF239</t>
  </si>
  <si>
    <t>Свердловская 303, въезд</t>
  </si>
  <si>
    <t>KRS_BB198</t>
  </si>
  <si>
    <t>Свердловская 303, выезд</t>
  </si>
  <si>
    <t>Свердловская 31, остановка</t>
  </si>
  <si>
    <t>KRS_CF59</t>
  </si>
  <si>
    <t>Свердловская 33, на противоположной стороне дороги</t>
  </si>
  <si>
    <t>KRS_BB573</t>
  </si>
  <si>
    <t>Свердловская 33, остановка "Юбилейная"</t>
  </si>
  <si>
    <t>KRS_CF60</t>
  </si>
  <si>
    <t>KRS_CF60</t>
  </si>
  <si>
    <t>Свердловская 3а, остановка Студенческая</t>
  </si>
  <si>
    <t>KRS_CF167</t>
  </si>
  <si>
    <t>KRS_CF167</t>
  </si>
  <si>
    <t>Свердловская 49, остановка "Октябрьская"</t>
  </si>
  <si>
    <t>KRS_CF61</t>
  </si>
  <si>
    <t>KRS_CF61</t>
  </si>
  <si>
    <t>Свердловская 57 г, остановка "Станция Енисей"</t>
  </si>
  <si>
    <t>KRS_CF62</t>
  </si>
  <si>
    <t>Свердловская 67г, остановка "Вираж"</t>
  </si>
  <si>
    <t>KRS_CF63</t>
  </si>
  <si>
    <t>Свердловская 69, остановка "Красфарма"</t>
  </si>
  <si>
    <t>KRS_CF64</t>
  </si>
  <si>
    <t>Свердловская 73, остановка Лента</t>
  </si>
  <si>
    <t>KRS_CF209</t>
  </si>
  <si>
    <t>KRS_CF209</t>
  </si>
  <si>
    <t>Свердловская 73, остановка</t>
  </si>
  <si>
    <t>KRS_CF65</t>
  </si>
  <si>
    <t>KRS_CF65</t>
  </si>
  <si>
    <t>Свердловская 8а, остановка Лесоперевалочная база</t>
  </si>
  <si>
    <t>KRS_CF57</t>
  </si>
  <si>
    <t>KRS_CF57</t>
  </si>
  <si>
    <t>Свердловская 8б, 1-ая остановка Перевалочная станция</t>
  </si>
  <si>
    <t>KRS_CF241</t>
  </si>
  <si>
    <t>KRS_CF241</t>
  </si>
  <si>
    <t>Свердловская 8б, 2-ая остановка Перевалочная станция</t>
  </si>
  <si>
    <t>KRS_CF242</t>
  </si>
  <si>
    <t>Свердловская 9д, остановка Художественное училище</t>
  </si>
  <si>
    <t>KRS_CF168</t>
  </si>
  <si>
    <t>KRS_CF168</t>
  </si>
  <si>
    <t>Свердловская, 293, 1-я конструкция</t>
  </si>
  <si>
    <t>KRS_BB196</t>
  </si>
  <si>
    <t>Свердловская, 31</t>
  </si>
  <si>
    <t>KRS_BB174</t>
  </si>
  <si>
    <t>Свердловская, 31А</t>
  </si>
  <si>
    <t>KRS_BB175</t>
  </si>
  <si>
    <t>Свердловская, 33Б, въезд</t>
  </si>
  <si>
    <t>KRS_BB176</t>
  </si>
  <si>
    <t>Свердловская, 33Б, выезд</t>
  </si>
  <si>
    <t>Свердловская, 43</t>
  </si>
  <si>
    <t>KRS_BB179</t>
  </si>
  <si>
    <t>Свердловская, 49 на противопоожной стороне дороги</t>
  </si>
  <si>
    <t>KRS_BB181</t>
  </si>
  <si>
    <t>Свердловская, 51</t>
  </si>
  <si>
    <t>KRS_BB182</t>
  </si>
  <si>
    <t>Свердловская, 67 г (напротив)</t>
  </si>
  <si>
    <t>KRS_BB184</t>
  </si>
  <si>
    <t>Свердловская, 67 г</t>
  </si>
  <si>
    <t>KRS_BB185</t>
  </si>
  <si>
    <t>Свердловская, 74</t>
  </si>
  <si>
    <t>KRS_BB186</t>
  </si>
  <si>
    <t>Свердловская, 8 б, со стороны юго-западного угла здания</t>
  </si>
  <si>
    <t>KRS_CF331</t>
  </si>
  <si>
    <t>Свердловская, 8Б</t>
  </si>
  <si>
    <t>KRS_BB172</t>
  </si>
  <si>
    <t>Свердловская, 98 выезд с АЗС</t>
  </si>
  <si>
    <t>KRS_BB188</t>
  </si>
  <si>
    <t>Свердловская, 98</t>
  </si>
  <si>
    <t>KRS_BB187</t>
  </si>
  <si>
    <t>Свердловская, напротив здания по пер. Водометному 2</t>
  </si>
  <si>
    <t>KRS_BB178</t>
  </si>
  <si>
    <t>Свердловская, напротив здания по ул. МПС 32 (суперборд 12*4)</t>
  </si>
  <si>
    <t>KRS_SS7</t>
  </si>
  <si>
    <t>Свердловская, со стороны здания по адресу ул. Матросова 20</t>
  </si>
  <si>
    <t>KRS_BB170</t>
  </si>
  <si>
    <t>KRS_BB170</t>
  </si>
  <si>
    <t>Светлогорская 19, остановка Урванцева</t>
  </si>
  <si>
    <t>KRS_CF312</t>
  </si>
  <si>
    <t>Светлогорская 4, остановка Урванцева</t>
  </si>
  <si>
    <t>KRS_CF311</t>
  </si>
  <si>
    <t>Свободный 31, остановка Красномосковская</t>
  </si>
  <si>
    <t>KRS_CF24</t>
  </si>
  <si>
    <t>Свободный 31, остановка Красномосковская, напротив</t>
  </si>
  <si>
    <t>KRS_CF183</t>
  </si>
  <si>
    <t>Свободный 36, остановка Школа</t>
  </si>
  <si>
    <t>KRS_CF215</t>
  </si>
  <si>
    <t>Свободный 46/1</t>
  </si>
  <si>
    <t>KRS_MB25</t>
  </si>
  <si>
    <t>Свободный 58, остановка</t>
  </si>
  <si>
    <t>KRS_CF25</t>
  </si>
  <si>
    <t>Свободный 69/2</t>
  </si>
  <si>
    <t>KRS_CF26</t>
  </si>
  <si>
    <t>Свободный 74а, остановка общественного транспорта "Сады" (965х1560)</t>
  </si>
  <si>
    <t>KRS_CF27</t>
  </si>
  <si>
    <t>Свободный 74ж, остановка</t>
  </si>
  <si>
    <t>KRS_CF279</t>
  </si>
  <si>
    <t>Свободный 75а, остановка общественнного транспорта</t>
  </si>
  <si>
    <t>KRS_CF28</t>
  </si>
  <si>
    <t>Свободный 79,  остановка Николаевская сопка</t>
  </si>
  <si>
    <t>KRS_CF256</t>
  </si>
  <si>
    <t>Свободный 79,  остановка Николаевская сопка, напротив</t>
  </si>
  <si>
    <t>KRS_CF257</t>
  </si>
  <si>
    <t>Свободный, 93</t>
  </si>
  <si>
    <t>KRS_BB578</t>
  </si>
  <si>
    <t>Свободный, до остановки "Торговый квартал"</t>
  </si>
  <si>
    <t>KRS_MB26</t>
  </si>
  <si>
    <t>Свободный, остановка Кинотеатр Космос</t>
  </si>
  <si>
    <t>KRS_CF182</t>
  </si>
  <si>
    <t>Свободный, остановка Кинотеатр Космос, напротив</t>
  </si>
  <si>
    <t>KRS_CF253</t>
  </si>
  <si>
    <t>Свободный, остановка Торговый квартал</t>
  </si>
  <si>
    <t>KRS_CF185</t>
  </si>
  <si>
    <t>Свободный, после остановки "Торговый квартал"</t>
  </si>
  <si>
    <t>KRS_MB27</t>
  </si>
  <si>
    <t>Северное шоссе 1, 50 метров по движению в город</t>
  </si>
  <si>
    <t>KRS_BB372</t>
  </si>
  <si>
    <t>Северное шоссе 1, 50 метров по движению в город, в ст. Северного</t>
  </si>
  <si>
    <t>Северное шоссе 17 ж стр 1, на противоположной стороне дороги</t>
  </si>
  <si>
    <t>KRS_BB568</t>
  </si>
  <si>
    <t>Северное шоссе 17 ж/1</t>
  </si>
  <si>
    <t>KRS_BB374</t>
  </si>
  <si>
    <t>Северное шоссе 17, на противоположной стороне дороги</t>
  </si>
  <si>
    <t>KRS_BB375</t>
  </si>
  <si>
    <t>Северное шоссе 19 в, на противоположной стороне дороги</t>
  </si>
  <si>
    <t>KRS_BB377</t>
  </si>
  <si>
    <t>Северное шоссе 19 д, на противоположной стороне дороги</t>
  </si>
  <si>
    <t>KRS_BB376</t>
  </si>
  <si>
    <t>Северное шоссе 48, остановка</t>
  </si>
  <si>
    <t>KRS_CF344</t>
  </si>
  <si>
    <t>Северное шоссе, 35, стр. 3</t>
  </si>
  <si>
    <t>KRS_BB378</t>
  </si>
  <si>
    <t>Северное шоссе, 800 метров до развязки с ул. Котельникова (въезд в город)</t>
  </si>
  <si>
    <t>KRS_BB564.</t>
  </si>
  <si>
    <t>Северное шоссе, 800 метров до развязки с ул. Котельникова</t>
  </si>
  <si>
    <t>KRS_BB564</t>
  </si>
  <si>
    <t>Северное шоссе, 900 метров после развязки с ул. Котельникова (въезд в город)</t>
  </si>
  <si>
    <t>KRS_BB565.</t>
  </si>
  <si>
    <t>Северное шоссе, 900 метров после развязки с ул. Котельникова</t>
  </si>
  <si>
    <t>KRS_BB565</t>
  </si>
  <si>
    <t>Семафорная - Паровозная, 1</t>
  </si>
  <si>
    <t>KRS_BB278</t>
  </si>
  <si>
    <t>Семафорная 120/2, остановка Школа</t>
  </si>
  <si>
    <t>KRS_CF56</t>
  </si>
  <si>
    <t>Семафорная 183 остановка Институт</t>
  </si>
  <si>
    <t>KRS_CF330</t>
  </si>
  <si>
    <t>Семафорная 193, остановка</t>
  </si>
  <si>
    <t>KRS_CF249</t>
  </si>
  <si>
    <t>KRS_CF249</t>
  </si>
  <si>
    <t>Семафорная 201, остановка</t>
  </si>
  <si>
    <t>KRS_CF250</t>
  </si>
  <si>
    <t>KRS_CF250</t>
  </si>
  <si>
    <t>Семафорная 201Г, остановка</t>
  </si>
  <si>
    <t>KRS_CF251</t>
  </si>
  <si>
    <t>KRS_CF251</t>
  </si>
  <si>
    <t>Семафорная 247, остановка Школа</t>
  </si>
  <si>
    <t>KRS_CF216</t>
  </si>
  <si>
    <t>KRS_CF216</t>
  </si>
  <si>
    <t>Семафорная, 110</t>
  </si>
  <si>
    <t>KRS_BB166</t>
  </si>
  <si>
    <t>Семафорная, 191</t>
  </si>
  <si>
    <t>KRS_BB167</t>
  </si>
  <si>
    <t>Семафорная, 247д</t>
  </si>
  <si>
    <t>KRS_BB571</t>
  </si>
  <si>
    <t>Семафорная, 261г,</t>
  </si>
  <si>
    <t>KRS_BB169</t>
  </si>
  <si>
    <t>Семафорная, 329</t>
  </si>
  <si>
    <t>KRS_BB323</t>
  </si>
  <si>
    <t>Семафорная, 329, в ст. КрасТЭЦ</t>
  </si>
  <si>
    <t>Семафорная, 397</t>
  </si>
  <si>
    <t>KRS_BB325</t>
  </si>
  <si>
    <t>Сибирская 29, остановка Фанпарк Бобровый лог</t>
  </si>
  <si>
    <t>KRS_CF55</t>
  </si>
  <si>
    <t>KRS_CF55</t>
  </si>
  <si>
    <t>Сибирский - Тихий, 2 движение в сторону пр.Кр.Рабочий</t>
  </si>
  <si>
    <t>KRS_BB300</t>
  </si>
  <si>
    <t>Сибирский - Тихий, 2, движение в сторону пр.Кр.Рабочий</t>
  </si>
  <si>
    <t>Сибирский 6, со стороны юго-западного фасада здания</t>
  </si>
  <si>
    <t>KRS_BB243</t>
  </si>
  <si>
    <t>Сибирский 8, остановка Нефтебаза</t>
  </si>
  <si>
    <t>KRS_CF181</t>
  </si>
  <si>
    <t>KRS_CF181</t>
  </si>
  <si>
    <t>Солнечный, ул. Славы 1, до АЗС в город</t>
  </si>
  <si>
    <t>KRS_BB131</t>
  </si>
  <si>
    <t>Солнечный, ул. Славы 1, до АЗС</t>
  </si>
  <si>
    <t>Солнечный, ул. Славы, 2а</t>
  </si>
  <si>
    <t>KRS_BB132</t>
  </si>
  <si>
    <t>Спандаряна 6, остановка Росгеология</t>
  </si>
  <si>
    <t>KRS_CF313</t>
  </si>
  <si>
    <t>Спандаряна 7, остановка</t>
  </si>
  <si>
    <t>KRS_CF314</t>
  </si>
  <si>
    <t>Стасовой 1, остановка Кинотеатр Строитель</t>
  </si>
  <si>
    <t>KRS_CF300</t>
  </si>
  <si>
    <t>Судостроительная, 71 остановка Магазин</t>
  </si>
  <si>
    <t>KRS_CF327</t>
  </si>
  <si>
    <t>Судостроительная, 74</t>
  </si>
  <si>
    <t>KRS_CF53</t>
  </si>
  <si>
    <t>Судостроительная, 93</t>
  </si>
  <si>
    <t>KRS_CF54</t>
  </si>
  <si>
    <t>Тельмана, 20</t>
  </si>
  <si>
    <t>KRS_BB97</t>
  </si>
  <si>
    <t>Тельмана, 36</t>
  </si>
  <si>
    <t>KRS_BB98</t>
  </si>
  <si>
    <t>Тельмана, 43</t>
  </si>
  <si>
    <t>KRS_CF96</t>
  </si>
  <si>
    <t>Тотмина 14 (ситиборд 3,7х2,7)</t>
  </si>
  <si>
    <t>KRS_SB204</t>
  </si>
  <si>
    <t>Тотмина 20 (ситиборд 4,4х3,4)</t>
  </si>
  <si>
    <t>KRS_SB205</t>
  </si>
  <si>
    <t>Тотмина 20, остановка Радиозавод</t>
  </si>
  <si>
    <t>KRS_CF302</t>
  </si>
  <si>
    <t>Тотмина, 21</t>
  </si>
  <si>
    <t>KRS_BB206</t>
  </si>
  <si>
    <t>Тотмина, 25</t>
  </si>
  <si>
    <t>KRS_BB207</t>
  </si>
  <si>
    <t>KRS_BB207</t>
  </si>
  <si>
    <t>Трасса Красноярск-Енисейск, 15 км+200 метров справа при движении из Красноярска</t>
  </si>
  <si>
    <t>KRS_BB555</t>
  </si>
  <si>
    <t>Трасса Красноярск-Енисейск, 15 км+370 метров слева при движении в Красноярск</t>
  </si>
  <si>
    <t>KRS_BB548</t>
  </si>
  <si>
    <t>Трасса Красноярск-Енисейск, 15 км+470 метров слева при движении в Красноярск</t>
  </si>
  <si>
    <t>KRS_BB547</t>
  </si>
  <si>
    <t>Участок дороги от моста 777, до ул. Одесской 335 метров от поста ДПС</t>
  </si>
  <si>
    <t>KRS_BB281</t>
  </si>
  <si>
    <t>Фед. автодорога М 53,  747 км трассы, 200 метров до кольца Зеледеево</t>
  </si>
  <si>
    <t>KRS_BB518</t>
  </si>
  <si>
    <t>Фед. автодорога М 53, 10,8 км до поста ДПС</t>
  </si>
  <si>
    <t>KRS_BB395</t>
  </si>
  <si>
    <t>Фед. автодорога М 53, 10,9 км до поста ДПС</t>
  </si>
  <si>
    <t>KRS_BB396</t>
  </si>
  <si>
    <t>Фед. автодорога М 53, 11 км до поста ДПС</t>
  </si>
  <si>
    <t>KRS_BB397</t>
  </si>
  <si>
    <t>Фед. автодорога М 53, 11,1 км до поста ДПС</t>
  </si>
  <si>
    <t>KRS_BB398</t>
  </si>
  <si>
    <t>Фед. автодорога М 53, 11,2 км до поста ДПС</t>
  </si>
  <si>
    <t>KRS_BB399</t>
  </si>
  <si>
    <t>Фед. автодорога М 53, 11,3 км до поста ДПС</t>
  </si>
  <si>
    <t>KRS_BB523</t>
  </si>
  <si>
    <t>Фед. автодорога М 53, 11,4 км до поста ДПС</t>
  </si>
  <si>
    <t>KRS_BB569</t>
  </si>
  <si>
    <t>Фед. автодорога М 53, 11,5 км до поста ДПС</t>
  </si>
  <si>
    <t>KRS_BB401</t>
  </si>
  <si>
    <t>Фед. автодорога М 53, 12 км после поста ДПС</t>
  </si>
  <si>
    <t>KRS_BB394</t>
  </si>
  <si>
    <t>Фед. автодорога М 53, 13 км до поста ДПС</t>
  </si>
  <si>
    <t>KRS_BB404</t>
  </si>
  <si>
    <t>Фед. автодорога М 53, 3 км после поста ДПС</t>
  </si>
  <si>
    <t>KRS_BB388</t>
  </si>
  <si>
    <t>Фед. автодорога М 53, 3,1 км до поста ДПС, выезд из города, движение в Аэропорт</t>
  </si>
  <si>
    <t>KRS_BB387</t>
  </si>
  <si>
    <t>Фед. автодорога М 53, 400 м до поста ДПС</t>
  </si>
  <si>
    <t>KRS_BB380</t>
  </si>
  <si>
    <t>Фед. автодорога М 53, 5 км после поста ДПС, въезд в город</t>
  </si>
  <si>
    <t>KRS_BB389</t>
  </si>
  <si>
    <t>Фед. автодорога М 53, 5 км после поста ДПС, выезд из города</t>
  </si>
  <si>
    <t>Фед. автодорога М 53, 5,1 км после поста ДПС, въезд в город</t>
  </si>
  <si>
    <t>KRS_BB390</t>
  </si>
  <si>
    <t>Фед. автодорога М 53, 5,1 км после поста ДПС, выезд из города</t>
  </si>
  <si>
    <t>Фед. автодорога М 53, 5,2 км после поста ДПС, въезд в город</t>
  </si>
  <si>
    <t>KRS_BB528</t>
  </si>
  <si>
    <t>Фед. автодорога М 53, 5,2 км после поста ДПС, выезд из города</t>
  </si>
  <si>
    <t>Фед. автодорога М 53, 5,3 км после поста ДПС, въезд в город</t>
  </si>
  <si>
    <t>KRS_BB530</t>
  </si>
  <si>
    <t>Фед. автодорога М 53, 5,3 км после поста ДПС, выезд из города</t>
  </si>
  <si>
    <t>Фед. автодорога М 53, 5,4 км после поста ДПС, въезд из города</t>
  </si>
  <si>
    <t>KRS_BB531</t>
  </si>
  <si>
    <t>Фед. автодорога М 53, 5,4 км после поста ДПС, выезд из города</t>
  </si>
  <si>
    <t>Фед. автодорога М 53, 500 м до поста ДПС, въезд в город, движение в аэропорт</t>
  </si>
  <si>
    <t>KRS_BB3543</t>
  </si>
  <si>
    <t>Фед. автодорога М 53, 500 м до поста ДПС, выезд из города, движение в аэропорт</t>
  </si>
  <si>
    <t>KRS_BB543</t>
  </si>
  <si>
    <t>Фед. автодорога М 53, 7 км до поста ДПС, выезд</t>
  </si>
  <si>
    <t>KRS_BB391</t>
  </si>
  <si>
    <t>Фед. автодорога М 53, 7 км до поста ДПС,</t>
  </si>
  <si>
    <t>Фед. автодорога М 53, 750м до поста ДПС</t>
  </si>
  <si>
    <t>KRS_BB381</t>
  </si>
  <si>
    <t>Фед. автодорога М 53, 750м до поста ДПС, въезд в город</t>
  </si>
  <si>
    <t>Фед. автодорога М 53, 9 км после поста ДПС, въезд в город</t>
  </si>
  <si>
    <t>KRS_BB393</t>
  </si>
  <si>
    <t>Фед. автодорога М 53, 9 км после поста ДПС, выезд из города</t>
  </si>
  <si>
    <t>Чайковского 12, остановка</t>
  </si>
  <si>
    <t>KRS_CF220</t>
  </si>
  <si>
    <t>KRS_CF220</t>
  </si>
  <si>
    <t>Чайковского 13, остановка</t>
  </si>
  <si>
    <t>KRS_CF221</t>
  </si>
  <si>
    <t>KRS_CF221</t>
  </si>
  <si>
    <t>Чернышева напротив дома по ул. Словцова, 16</t>
  </si>
  <si>
    <t>KRS_BB201</t>
  </si>
  <si>
    <t>Чернышевского 110</t>
  </si>
  <si>
    <t>KRS_BB541</t>
  </si>
  <si>
    <t>Чернышевского 98, остановка "7-ой микрорайон"</t>
  </si>
  <si>
    <t>KRS_CF160</t>
  </si>
  <si>
    <t>Чкалова, остановка Николаевский мост</t>
  </si>
  <si>
    <t>KRS_CF322</t>
  </si>
  <si>
    <t>Чкалова, остановка Николаевский мост, напротив</t>
  </si>
  <si>
    <t>KRS_CF323</t>
  </si>
  <si>
    <t>Шахтеров 14, остановка общественного транспорта</t>
  </si>
  <si>
    <t>KRS_CF102</t>
  </si>
  <si>
    <t>Шахтеров 39, напротив остановка Рынок</t>
  </si>
  <si>
    <t>KRS_CF156</t>
  </si>
  <si>
    <t>KRS_CF156</t>
  </si>
  <si>
    <t>Шахтеров 4 стр. 12</t>
  </si>
  <si>
    <t>KRS_BB46</t>
  </si>
  <si>
    <t>Шахтеров 46а</t>
  </si>
  <si>
    <t>KRS_CF107</t>
  </si>
  <si>
    <t>Шахтеров между зданиями №21 и 23</t>
  </si>
  <si>
    <t>KRS_BB522</t>
  </si>
  <si>
    <t>KRS_BB5221</t>
  </si>
  <si>
    <t>KRS_BB5222</t>
  </si>
  <si>
    <t>KRS_BB5223</t>
  </si>
  <si>
    <t>Шахтеров, 12 остановка улица "Шахтеров"</t>
  </si>
  <si>
    <t>KRS_CF101</t>
  </si>
  <si>
    <t>Шахтеров, 12</t>
  </si>
  <si>
    <t>KRS_CF100</t>
  </si>
  <si>
    <t>Шахтеров, 17</t>
  </si>
  <si>
    <t>KRS_BB361</t>
  </si>
  <si>
    <t>Шахтеров, 18/1 Остановка</t>
  </si>
  <si>
    <t>KRS_CF104</t>
  </si>
  <si>
    <t>Шахтеров, 18/1</t>
  </si>
  <si>
    <t>KRS_CF103</t>
  </si>
  <si>
    <t>Шахтеров, 23к</t>
  </si>
  <si>
    <t>KRS_CF105</t>
  </si>
  <si>
    <t>Шахтеров, 62/2</t>
  </si>
  <si>
    <t>KRS_BB47</t>
  </si>
  <si>
    <t>Шахтеров, 6а</t>
  </si>
  <si>
    <t>KRS_CF98</t>
  </si>
  <si>
    <t>Шахтеров, 6а-1</t>
  </si>
  <si>
    <t>KRS_CF99</t>
  </si>
  <si>
    <t>Шахтеров, 80 метров до ул. Гагарина</t>
  </si>
  <si>
    <t>KRS_BB544</t>
  </si>
  <si>
    <t>Шахтеров, на противоположной стороне, остановка "Игарская"</t>
  </si>
  <si>
    <t>KRS_CF180</t>
  </si>
  <si>
    <t>KRS_CF180</t>
  </si>
  <si>
    <t>Шахтеров, напротив Енисейской, 2а</t>
  </si>
  <si>
    <t>KRS_BB362</t>
  </si>
  <si>
    <t>Шахтеров, остановка "Игарская"</t>
  </si>
  <si>
    <t>KRS_CF141</t>
  </si>
  <si>
    <t>KRS_CF141</t>
  </si>
  <si>
    <t>Шахтеров, остановка Березина</t>
  </si>
  <si>
    <t>KRS_CF106</t>
  </si>
  <si>
    <t>Шевченко 50, остановка Черемушки</t>
  </si>
  <si>
    <t>KRS_CF350</t>
  </si>
  <si>
    <t>Шевченко 60, остановка Сквер Юнга</t>
  </si>
  <si>
    <t>KRS_CF351</t>
  </si>
  <si>
    <t>Шевченко 64, остановка 2-ая Шинная</t>
  </si>
  <si>
    <t>KRS_CF352</t>
  </si>
  <si>
    <t>Щорса, 27</t>
  </si>
  <si>
    <t>KRS_BB328</t>
  </si>
  <si>
    <t>Щорса, 31, 1-ая конструкция</t>
  </si>
  <si>
    <t>KRS_BB329</t>
  </si>
  <si>
    <t>Щорса, 66</t>
  </si>
  <si>
    <t>KRS_BB330</t>
  </si>
  <si>
    <t>Щорса, 88</t>
  </si>
  <si>
    <t>KRS_BB332</t>
  </si>
  <si>
    <t>Щорса, 90а</t>
  </si>
  <si>
    <t>KRS_BB331</t>
  </si>
  <si>
    <t>KRS_BB331</t>
  </si>
  <si>
    <t>Юрия Гагарина, остановка Линейная</t>
  </si>
  <si>
    <t>KRS_CF318</t>
  </si>
  <si>
    <t>Ястынская 42, остановка</t>
  </si>
  <si>
    <t>KRS_CF224</t>
  </si>
  <si>
    <t>KRS_CF224</t>
  </si>
  <si>
    <t>Ястынская 52, остановка</t>
  </si>
  <si>
    <t>KRS_CF223</t>
  </si>
  <si>
    <t>Ястынская, 39/3 ( в ст. АР Гайдашовка)</t>
  </si>
  <si>
    <t>Ястынская, 39/3</t>
  </si>
  <si>
    <t>KRS_BB61</t>
  </si>
  <si>
    <t>Лесосибирск</t>
  </si>
  <si>
    <t>Горького, в 170 метрах южнее поворота в 7 микрорайон</t>
  </si>
  <si>
    <t>LS_BB2</t>
  </si>
  <si>
    <t>Горького, в 50 метрах от проезда к зданию Администрации</t>
  </si>
  <si>
    <t>LS_BB1</t>
  </si>
  <si>
    <t>Южная часть</t>
  </si>
  <si>
    <t>Победы 44 ситиборд (3х2)</t>
  </si>
  <si>
    <t>3 X 2 м</t>
  </si>
  <si>
    <t>LS_SB1</t>
  </si>
  <si>
    <t>Назарово</t>
  </si>
  <si>
    <t>22-й микрорайон</t>
  </si>
  <si>
    <t>22-й микрорайон, в районе гаражного кооператива "Восточный"</t>
  </si>
  <si>
    <t>NZ_BB2</t>
  </si>
  <si>
    <t>Автодорога 04К-003</t>
  </si>
  <si>
    <t>32-й км автодороги "Ачинск-Ужур-Тройцкое"</t>
  </si>
  <si>
    <t>NZ_BB1</t>
  </si>
  <si>
    <t>Заречный</t>
  </si>
  <si>
    <t>Заречная, в районе владения 12</t>
  </si>
  <si>
    <t>NZ_BB3</t>
  </si>
  <si>
    <t>Сосновоборск</t>
  </si>
  <si>
    <t>Мира 5, 2-ая конструкция</t>
  </si>
  <si>
    <t>SB_BB3</t>
  </si>
  <si>
    <t>пр-кт  Мира 5</t>
  </si>
  <si>
    <t>SB_BB1</t>
  </si>
  <si>
    <t>пр-кт Мира 5</t>
  </si>
  <si>
    <t>Сухобузимо</t>
  </si>
  <si>
    <t>Сухобузимский</t>
  </si>
  <si>
    <t>Комсомольская, 86</t>
  </si>
  <si>
    <t>KRS_BB546</t>
  </si>
  <si>
    <t>Уяр</t>
  </si>
  <si>
    <t>ФАД Р-255 "Сибирь"</t>
  </si>
  <si>
    <t>ул. Садовая напротив дома №44, в районе автодроги по направлению Партизанское -Уяр</t>
  </si>
  <si>
    <t>UA_BB2</t>
  </si>
  <si>
    <t>ФАД Р-255 "Сибирь" Красноярск-Иркутск, 932 км, напротив Австостоянки Уярочка</t>
  </si>
  <si>
    <t>UA_BB1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</si>
</sst>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30" x14ac:knownFonts="1">
    <font>
      <sz val="8"/>
      <name val="Arial"/>
    </font>
    <font>
      <sz val="8"/>
      <name val="Tahoma"/>
    </font>
    <font>
      <sz val="10"/>
      <name val="Tahoma"/>
      <family val="2"/>
    </font>
    <font>
      <sz val="9"/>
      <name val="Tahoma"/>
      <family val="2"/>
    </font>
    <font>
      <sz val="10"/>
      <name val="Tahoma"/>
    </font>
    <font>
      <sz val="10"/>
      <color rgb="FF000000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  <font>
      <u/>
      <sz val="10"/>
      <color rgb="FF4169E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0C4DE"/>
        <bgColor auto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33">
    <xf numFmtId="0" fontId="0" fillId="0" borderId="0" xfId="0"/>
    <xf numFmtId="0" fontId="1" fillId="0" borderId="0" xfId="0" applyFont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3" fontId="5" fillId="0" borderId="1" xfId="0" applyNumberFormat="1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left" vertical="center" wrapText="1" indent="1"/>
    </xf>
    <xf numFmtId="0" fontId="21" fillId="0" borderId="1" xfId="0" applyFont="1" applyBorder="1" applyAlignment="1">
      <alignment horizontal="left" vertical="center" wrapText="1" indent="1"/>
    </xf>
    <xf numFmtId="0" fontId="22" fillId="0" borderId="1" xfId="0" applyFont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25" fillId="0" borderId="1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left" vertical="center" wrapText="1" indent="1"/>
    </xf>
    <xf numFmtId="0" fontId="27" fillId="0" borderId="1" xfId="0" applyFont="1" applyBorder="1" applyAlignment="1">
      <alignment horizontal="left" vertical="center" wrapText="1" indent="1"/>
    </xf>
    <xf numFmtId="0" fontId="28" fillId="0" borderId="1" xfId="0" applyFont="1" applyBorder="1" applyAlignment="1">
      <alignment horizontal="left" vertical="center" wrapText="1" indent="1"/>
    </xf>
    <xf numFmtId="0" fontId="29" fillId="0" borderId="1" xfId="0" applyFont="1" applyBorder="1" applyAlignment="1">
      <alignment horizontal="left" vertical="center" wrapText="1" indent="1"/>
    </xf>
    <xf numFmtId="0" fontId="30" fillId="0" borderId="1" xfId="0" applyFont="1" applyBorder="1" applyAlignment="1">
      <alignment horizontal="left" vertical="center" wrapText="1" indent="1"/>
    </xf>
    <xf numFmtId="0" fontId="31" fillId="0" borderId="1" xfId="0" applyFont="1" applyBorder="1" applyAlignment="1">
      <alignment horizontal="left" vertical="center" wrapText="1" indent="1"/>
    </xf>
    <xf numFmtId="0" fontId="32" fillId="0" borderId="1" xfId="0" applyFont="1" applyBorder="1" applyAlignment="1">
      <alignment horizontal="left" vertical="center" wrapText="1" indent="1"/>
    </xf>
    <xf numFmtId="0" fontId="33" fillId="0" borderId="1" xfId="0" applyFont="1" applyBorder="1" applyAlignment="1">
      <alignment horizontal="left" vertical="center" wrapText="1" indent="1"/>
    </xf>
    <xf numFmtId="0" fontId="34" fillId="0" borderId="1" xfId="0" applyFont="1" applyBorder="1" applyAlignment="1">
      <alignment horizontal="left" vertical="center" wrapText="1" indent="1"/>
    </xf>
    <xf numFmtId="0" fontId="35" fillId="0" borderId="1" xfId="0" applyFont="1" applyBorder="1" applyAlignment="1">
      <alignment horizontal="left" vertical="center" wrapText="1" indent="1"/>
    </xf>
    <xf numFmtId="0" fontId="36" fillId="0" borderId="1" xfId="0" applyFont="1" applyBorder="1" applyAlignment="1">
      <alignment horizontal="left" vertical="center" wrapText="1" indent="1"/>
    </xf>
    <xf numFmtId="0" fontId="37" fillId="0" borderId="1" xfId="0" applyFont="1" applyBorder="1" applyAlignment="1">
      <alignment horizontal="left" vertical="center" wrapText="1" indent="1"/>
    </xf>
    <xf numFmtId="0" fontId="38" fillId="0" borderId="1" xfId="0" applyFont="1" applyBorder="1" applyAlignment="1">
      <alignment horizontal="left" vertical="center" wrapText="1" indent="1"/>
    </xf>
    <xf numFmtId="0" fontId="39" fillId="0" borderId="1" xfId="0" applyFont="1" applyBorder="1" applyAlignment="1">
      <alignment horizontal="left" vertical="center" wrapText="1" indent="1"/>
    </xf>
    <xf numFmtId="0" fontId="40" fillId="0" borderId="1" xfId="0" applyFont="1" applyBorder="1" applyAlignment="1">
      <alignment horizontal="left" vertical="center" wrapText="1" indent="1"/>
    </xf>
    <xf numFmtId="0" fontId="41" fillId="0" borderId="1" xfId="0" applyFont="1" applyBorder="1" applyAlignment="1">
      <alignment horizontal="left" vertical="center" wrapText="1" indent="1"/>
    </xf>
    <xf numFmtId="0" fontId="42" fillId="0" borderId="1" xfId="0" applyFont="1" applyBorder="1" applyAlignment="1">
      <alignment horizontal="left" vertical="center" wrapText="1" indent="1"/>
    </xf>
    <xf numFmtId="0" fontId="43" fillId="0" borderId="1" xfId="0" applyFont="1" applyBorder="1" applyAlignment="1">
      <alignment horizontal="left" vertical="center" wrapText="1" indent="1"/>
    </xf>
    <xf numFmtId="0" fontId="44" fillId="0" borderId="1" xfId="0" applyFont="1" applyBorder="1" applyAlignment="1">
      <alignment horizontal="left" vertical="center" wrapText="1" indent="1"/>
    </xf>
    <xf numFmtId="0" fontId="45" fillId="0" borderId="1" xfId="0" applyFont="1" applyBorder="1" applyAlignment="1">
      <alignment horizontal="left" vertical="center" wrapText="1" indent="1"/>
    </xf>
    <xf numFmtId="0" fontId="46" fillId="0" borderId="1" xfId="0" applyFont="1" applyBorder="1" applyAlignment="1">
      <alignment horizontal="left" vertical="center" wrapText="1" indent="1"/>
    </xf>
    <xf numFmtId="0" fontId="47" fillId="0" borderId="1" xfId="0" applyFont="1" applyBorder="1" applyAlignment="1">
      <alignment horizontal="left" vertical="center" wrapText="1" indent="1"/>
    </xf>
    <xf numFmtId="0" fontId="48" fillId="0" borderId="1" xfId="0" applyFont="1" applyBorder="1" applyAlignment="1">
      <alignment horizontal="left" vertical="center" wrapText="1" indent="1"/>
    </xf>
    <xf numFmtId="0" fontId="49" fillId="0" borderId="1" xfId="0" applyFont="1" applyBorder="1" applyAlignment="1">
      <alignment horizontal="left" vertical="center" wrapText="1" indent="1"/>
    </xf>
    <xf numFmtId="0" fontId="50" fillId="0" borderId="1" xfId="0" applyFont="1" applyBorder="1" applyAlignment="1">
      <alignment horizontal="left" vertical="center" wrapText="1" indent="1"/>
    </xf>
    <xf numFmtId="0" fontId="51" fillId="0" borderId="1" xfId="0" applyFont="1" applyBorder="1" applyAlignment="1">
      <alignment horizontal="left" vertical="center" wrapText="1" indent="1"/>
    </xf>
    <xf numFmtId="0" fontId="52" fillId="0" borderId="1" xfId="0" applyFont="1" applyBorder="1" applyAlignment="1">
      <alignment horizontal="left" vertical="center" wrapText="1" indent="1"/>
    </xf>
    <xf numFmtId="0" fontId="53" fillId="0" borderId="1" xfId="0" applyFont="1" applyBorder="1" applyAlignment="1">
      <alignment horizontal="left" vertical="center" wrapText="1" indent="1"/>
    </xf>
    <xf numFmtId="0" fontId="54" fillId="0" borderId="1" xfId="0" applyFont="1" applyBorder="1" applyAlignment="1">
      <alignment horizontal="left" vertical="center" wrapText="1" indent="1"/>
    </xf>
    <xf numFmtId="0" fontId="55" fillId="0" borderId="1" xfId="0" applyFont="1" applyBorder="1" applyAlignment="1">
      <alignment horizontal="left" vertical="center" wrapText="1" indent="1"/>
    </xf>
    <xf numFmtId="0" fontId="56" fillId="0" borderId="1" xfId="0" applyFont="1" applyBorder="1" applyAlignment="1">
      <alignment horizontal="left" vertical="center" wrapText="1" indent="1"/>
    </xf>
    <xf numFmtId="0" fontId="57" fillId="0" borderId="1" xfId="0" applyFont="1" applyBorder="1" applyAlignment="1">
      <alignment horizontal="left" vertical="center" wrapText="1" indent="1"/>
    </xf>
    <xf numFmtId="0" fontId="58" fillId="0" borderId="1" xfId="0" applyFont="1" applyBorder="1" applyAlignment="1">
      <alignment horizontal="left" vertical="center" wrapText="1" indent="1"/>
    </xf>
    <xf numFmtId="0" fontId="59" fillId="0" borderId="1" xfId="0" applyFont="1" applyBorder="1" applyAlignment="1">
      <alignment horizontal="left" vertical="center" wrapText="1" indent="1"/>
    </xf>
    <xf numFmtId="0" fontId="60" fillId="0" borderId="1" xfId="0" applyFont="1" applyBorder="1" applyAlignment="1">
      <alignment horizontal="left" vertical="center" wrapText="1" indent="1"/>
    </xf>
    <xf numFmtId="0" fontId="61" fillId="0" borderId="1" xfId="0" applyFont="1" applyBorder="1" applyAlignment="1">
      <alignment horizontal="left" vertical="center" wrapText="1" indent="1"/>
    </xf>
    <xf numFmtId="0" fontId="62" fillId="0" borderId="1" xfId="0" applyFont="1" applyBorder="1" applyAlignment="1">
      <alignment horizontal="left" vertical="center" wrapText="1" indent="1"/>
    </xf>
    <xf numFmtId="0" fontId="63" fillId="0" borderId="1" xfId="0" applyFont="1" applyBorder="1" applyAlignment="1">
      <alignment horizontal="left" vertical="center" wrapText="1" indent="1"/>
    </xf>
    <xf numFmtId="0" fontId="64" fillId="0" borderId="1" xfId="0" applyFont="1" applyBorder="1" applyAlignment="1">
      <alignment horizontal="left" vertical="center" wrapText="1" indent="1"/>
    </xf>
    <xf numFmtId="0" fontId="65" fillId="0" borderId="1" xfId="0" applyFont="1" applyBorder="1" applyAlignment="1">
      <alignment horizontal="left" vertical="center" wrapText="1" indent="1"/>
    </xf>
    <xf numFmtId="0" fontId="66" fillId="0" borderId="1" xfId="0" applyFont="1" applyBorder="1" applyAlignment="1">
      <alignment horizontal="left" vertical="center" wrapText="1" indent="1"/>
    </xf>
    <xf numFmtId="0" fontId="67" fillId="0" borderId="1" xfId="0" applyFont="1" applyBorder="1" applyAlignment="1">
      <alignment horizontal="left" vertical="center" wrapText="1" indent="1"/>
    </xf>
    <xf numFmtId="0" fontId="68" fillId="0" borderId="1" xfId="0" applyFont="1" applyBorder="1" applyAlignment="1">
      <alignment horizontal="left" vertical="center" wrapText="1" indent="1"/>
    </xf>
    <xf numFmtId="0" fontId="69" fillId="0" borderId="1" xfId="0" applyFont="1" applyBorder="1" applyAlignment="1">
      <alignment horizontal="left" vertical="center" wrapText="1" indent="1"/>
    </xf>
    <xf numFmtId="0" fontId="70" fillId="0" borderId="1" xfId="0" applyFont="1" applyBorder="1" applyAlignment="1">
      <alignment horizontal="left" vertical="center" wrapText="1" indent="1"/>
    </xf>
    <xf numFmtId="0" fontId="71" fillId="0" borderId="1" xfId="0" applyFont="1" applyBorder="1" applyAlignment="1">
      <alignment horizontal="left" vertical="center" wrapText="1" indent="1"/>
    </xf>
    <xf numFmtId="0" fontId="72" fillId="0" borderId="1" xfId="0" applyFont="1" applyBorder="1" applyAlignment="1">
      <alignment horizontal="left" vertical="center" wrapText="1" indent="1"/>
    </xf>
    <xf numFmtId="0" fontId="73" fillId="0" borderId="1" xfId="0" applyFont="1" applyBorder="1" applyAlignment="1">
      <alignment horizontal="left" vertical="center" wrapText="1" indent="1"/>
    </xf>
    <xf numFmtId="0" fontId="74" fillId="0" borderId="1" xfId="0" applyFont="1" applyBorder="1" applyAlignment="1">
      <alignment horizontal="left" vertical="center" wrapText="1" indent="1"/>
    </xf>
    <xf numFmtId="0" fontId="75" fillId="0" borderId="1" xfId="0" applyFont="1" applyBorder="1" applyAlignment="1">
      <alignment horizontal="left" vertical="center" wrapText="1" indent="1"/>
    </xf>
    <xf numFmtId="0" fontId="76" fillId="0" borderId="1" xfId="0" applyFont="1" applyBorder="1" applyAlignment="1">
      <alignment horizontal="left" vertical="center" wrapText="1" indent="1"/>
    </xf>
    <xf numFmtId="0" fontId="77" fillId="0" borderId="1" xfId="0" applyFont="1" applyBorder="1" applyAlignment="1">
      <alignment horizontal="left" vertical="center" wrapText="1" indent="1"/>
    </xf>
    <xf numFmtId="0" fontId="78" fillId="0" borderId="1" xfId="0" applyFont="1" applyBorder="1" applyAlignment="1">
      <alignment horizontal="left" vertical="center" wrapText="1" indent="1"/>
    </xf>
    <xf numFmtId="0" fontId="79" fillId="0" borderId="1" xfId="0" applyFont="1" applyBorder="1" applyAlignment="1">
      <alignment horizontal="left" vertical="center" wrapText="1" indent="1"/>
    </xf>
    <xf numFmtId="0" fontId="80" fillId="0" borderId="1" xfId="0" applyFont="1" applyBorder="1" applyAlignment="1">
      <alignment horizontal="left" vertical="center" wrapText="1" indent="1"/>
    </xf>
    <xf numFmtId="0" fontId="81" fillId="0" borderId="1" xfId="0" applyFont="1" applyBorder="1" applyAlignment="1">
      <alignment horizontal="left" vertical="center" wrapText="1" indent="1"/>
    </xf>
    <xf numFmtId="0" fontId="82" fillId="0" borderId="1" xfId="0" applyFont="1" applyBorder="1" applyAlignment="1">
      <alignment horizontal="left" vertical="center" wrapText="1" indent="1"/>
    </xf>
    <xf numFmtId="0" fontId="83" fillId="0" borderId="1" xfId="0" applyFont="1" applyBorder="1" applyAlignment="1">
      <alignment horizontal="left" vertical="center" wrapText="1" indent="1"/>
    </xf>
    <xf numFmtId="0" fontId="84" fillId="0" borderId="1" xfId="0" applyFont="1" applyBorder="1" applyAlignment="1">
      <alignment horizontal="left" vertical="center" wrapText="1" indent="1"/>
    </xf>
    <xf numFmtId="0" fontId="85" fillId="0" borderId="1" xfId="0" applyFont="1" applyBorder="1" applyAlignment="1">
      <alignment horizontal="left" vertical="center" wrapText="1" indent="1"/>
    </xf>
    <xf numFmtId="0" fontId="86" fillId="0" borderId="1" xfId="0" applyFont="1" applyBorder="1" applyAlignment="1">
      <alignment horizontal="left" vertical="center" wrapText="1" indent="1"/>
    </xf>
    <xf numFmtId="0" fontId="87" fillId="0" borderId="1" xfId="0" applyFont="1" applyBorder="1" applyAlignment="1">
      <alignment horizontal="left" vertical="center" wrapText="1" indent="1"/>
    </xf>
    <xf numFmtId="0" fontId="88" fillId="0" borderId="1" xfId="0" applyFont="1" applyBorder="1" applyAlignment="1">
      <alignment horizontal="left" vertical="center" wrapText="1" indent="1"/>
    </xf>
    <xf numFmtId="0" fontId="89" fillId="0" borderId="1" xfId="0" applyFont="1" applyBorder="1" applyAlignment="1">
      <alignment horizontal="left" vertical="center" wrapText="1" indent="1"/>
    </xf>
    <xf numFmtId="0" fontId="90" fillId="0" borderId="1" xfId="0" applyFont="1" applyBorder="1" applyAlignment="1">
      <alignment horizontal="left" vertical="center" wrapText="1" indent="1"/>
    </xf>
    <xf numFmtId="0" fontId="91" fillId="0" borderId="1" xfId="0" applyFont="1" applyBorder="1" applyAlignment="1">
      <alignment horizontal="left" vertical="center" wrapText="1" indent="1"/>
    </xf>
    <xf numFmtId="0" fontId="92" fillId="0" borderId="1" xfId="0" applyFont="1" applyBorder="1" applyAlignment="1">
      <alignment horizontal="left" vertical="center" wrapText="1" indent="1"/>
    </xf>
    <xf numFmtId="0" fontId="93" fillId="0" borderId="1" xfId="0" applyFont="1" applyBorder="1" applyAlignment="1">
      <alignment horizontal="left" vertical="center" wrapText="1" indent="1"/>
    </xf>
    <xf numFmtId="0" fontId="94" fillId="0" borderId="1" xfId="0" applyFont="1" applyBorder="1" applyAlignment="1">
      <alignment horizontal="left" vertical="center" wrapText="1" indent="1"/>
    </xf>
    <xf numFmtId="0" fontId="95" fillId="0" borderId="1" xfId="0" applyFont="1" applyBorder="1" applyAlignment="1">
      <alignment horizontal="left" vertical="center" wrapText="1" indent="1"/>
    </xf>
    <xf numFmtId="0" fontId="96" fillId="0" borderId="1" xfId="0" applyFont="1" applyBorder="1" applyAlignment="1">
      <alignment horizontal="left" vertical="center" wrapText="1" indent="1"/>
    </xf>
    <xf numFmtId="0" fontId="97" fillId="0" borderId="1" xfId="0" applyFont="1" applyBorder="1" applyAlignment="1">
      <alignment horizontal="left" vertical="center" wrapText="1" indent="1"/>
    </xf>
    <xf numFmtId="0" fontId="98" fillId="0" borderId="1" xfId="0" applyFont="1" applyBorder="1" applyAlignment="1">
      <alignment horizontal="left" vertical="center" wrapText="1" indent="1"/>
    </xf>
    <xf numFmtId="0" fontId="99" fillId="0" borderId="1" xfId="0" applyFont="1" applyBorder="1" applyAlignment="1">
      <alignment horizontal="left" vertical="center" wrapText="1" indent="1"/>
    </xf>
    <xf numFmtId="0" fontId="100" fillId="0" borderId="1" xfId="0" applyFont="1" applyBorder="1" applyAlignment="1">
      <alignment horizontal="left" vertical="center" wrapText="1" indent="1"/>
    </xf>
    <xf numFmtId="0" fontId="101" fillId="0" borderId="1" xfId="0" applyFont="1" applyBorder="1" applyAlignment="1">
      <alignment horizontal="left" vertical="center" wrapText="1" indent="1"/>
    </xf>
    <xf numFmtId="0" fontId="102" fillId="0" borderId="1" xfId="0" applyFont="1" applyBorder="1" applyAlignment="1">
      <alignment horizontal="left" vertical="center" wrapText="1" indent="1"/>
    </xf>
    <xf numFmtId="0" fontId="103" fillId="0" borderId="1" xfId="0" applyFont="1" applyBorder="1" applyAlignment="1">
      <alignment horizontal="left" vertical="center" wrapText="1" indent="1"/>
    </xf>
    <xf numFmtId="0" fontId="104" fillId="0" borderId="1" xfId="0" applyFont="1" applyBorder="1" applyAlignment="1">
      <alignment horizontal="left" vertical="center" wrapText="1" indent="1"/>
    </xf>
    <xf numFmtId="0" fontId="105" fillId="0" borderId="1" xfId="0" applyFont="1" applyBorder="1" applyAlignment="1">
      <alignment horizontal="left" vertical="center" wrapText="1" indent="1"/>
    </xf>
    <xf numFmtId="0" fontId="106" fillId="0" borderId="1" xfId="0" applyFont="1" applyBorder="1" applyAlignment="1">
      <alignment horizontal="left" vertical="center" wrapText="1" indent="1"/>
    </xf>
    <xf numFmtId="0" fontId="107" fillId="0" borderId="1" xfId="0" applyFont="1" applyBorder="1" applyAlignment="1">
      <alignment horizontal="left" vertical="center" wrapText="1" indent="1"/>
    </xf>
    <xf numFmtId="0" fontId="108" fillId="0" borderId="1" xfId="0" applyFont="1" applyBorder="1" applyAlignment="1">
      <alignment horizontal="left" vertical="center" wrapText="1" indent="1"/>
    </xf>
    <xf numFmtId="0" fontId="109" fillId="0" borderId="1" xfId="0" applyFont="1" applyBorder="1" applyAlignment="1">
      <alignment horizontal="left" vertical="center" wrapText="1" indent="1"/>
    </xf>
    <xf numFmtId="0" fontId="110" fillId="0" borderId="1" xfId="0" applyFont="1" applyBorder="1" applyAlignment="1">
      <alignment horizontal="left" vertical="center" wrapText="1" indent="1"/>
    </xf>
    <xf numFmtId="0" fontId="111" fillId="0" borderId="1" xfId="0" applyFont="1" applyBorder="1" applyAlignment="1">
      <alignment horizontal="left" vertical="center" wrapText="1" indent="1"/>
    </xf>
    <xf numFmtId="0" fontId="112" fillId="0" borderId="1" xfId="0" applyFont="1" applyBorder="1" applyAlignment="1">
      <alignment horizontal="left" vertical="center" wrapText="1" indent="1"/>
    </xf>
    <xf numFmtId="0" fontId="113" fillId="0" borderId="1" xfId="0" applyFont="1" applyBorder="1" applyAlignment="1">
      <alignment horizontal="left" vertical="center" wrapText="1" indent="1"/>
    </xf>
    <xf numFmtId="0" fontId="114" fillId="0" borderId="1" xfId="0" applyFont="1" applyBorder="1" applyAlignment="1">
      <alignment horizontal="left" vertical="center" wrapText="1" indent="1"/>
    </xf>
    <xf numFmtId="0" fontId="115" fillId="0" borderId="1" xfId="0" applyFont="1" applyBorder="1" applyAlignment="1">
      <alignment horizontal="left" vertical="center" wrapText="1" indent="1"/>
    </xf>
    <xf numFmtId="0" fontId="116" fillId="0" borderId="1" xfId="0" applyFont="1" applyBorder="1" applyAlignment="1">
      <alignment horizontal="left" vertical="center" wrapText="1" indent="1"/>
    </xf>
    <xf numFmtId="0" fontId="117" fillId="0" borderId="1" xfId="0" applyFont="1" applyBorder="1" applyAlignment="1">
      <alignment horizontal="left" vertical="center" wrapText="1" indent="1"/>
    </xf>
    <xf numFmtId="0" fontId="118" fillId="0" borderId="1" xfId="0" applyFont="1" applyBorder="1" applyAlignment="1">
      <alignment horizontal="left" vertical="center" wrapText="1" indent="1"/>
    </xf>
    <xf numFmtId="0" fontId="119" fillId="0" borderId="1" xfId="0" applyFont="1" applyBorder="1" applyAlignment="1">
      <alignment horizontal="left" vertical="center" wrapText="1" indent="1"/>
    </xf>
    <xf numFmtId="0" fontId="120" fillId="0" borderId="1" xfId="0" applyFont="1" applyBorder="1" applyAlignment="1">
      <alignment horizontal="left" vertical="center" wrapText="1" indent="1"/>
    </xf>
    <xf numFmtId="0" fontId="121" fillId="0" borderId="1" xfId="0" applyFont="1" applyBorder="1" applyAlignment="1">
      <alignment horizontal="left" vertical="center" wrapText="1" indent="1"/>
    </xf>
    <xf numFmtId="0" fontId="122" fillId="0" borderId="1" xfId="0" applyFont="1" applyBorder="1" applyAlignment="1">
      <alignment horizontal="left" vertical="center" wrapText="1" indent="1"/>
    </xf>
    <xf numFmtId="0" fontId="123" fillId="0" borderId="1" xfId="0" applyFont="1" applyBorder="1" applyAlignment="1">
      <alignment horizontal="left" vertical="center" wrapText="1" indent="1"/>
    </xf>
    <xf numFmtId="0" fontId="124" fillId="0" borderId="1" xfId="0" applyFont="1" applyBorder="1" applyAlignment="1">
      <alignment horizontal="left" vertical="center" wrapText="1" indent="1"/>
    </xf>
    <xf numFmtId="0" fontId="125" fillId="0" borderId="1" xfId="0" applyFont="1" applyBorder="1" applyAlignment="1">
      <alignment horizontal="left" vertical="center" wrapText="1" indent="1"/>
    </xf>
    <xf numFmtId="0" fontId="126" fillId="0" borderId="1" xfId="0" applyFont="1" applyBorder="1" applyAlignment="1">
      <alignment horizontal="left" vertical="center" wrapText="1" indent="1"/>
    </xf>
    <xf numFmtId="0" fontId="127" fillId="0" borderId="1" xfId="0" applyFont="1" applyBorder="1" applyAlignment="1">
      <alignment horizontal="left" vertical="center" wrapText="1" indent="1"/>
    </xf>
    <xf numFmtId="0" fontId="128" fillId="0" borderId="1" xfId="0" applyFont="1" applyBorder="1" applyAlignment="1">
      <alignment horizontal="left" vertical="center" wrapText="1" indent="1"/>
    </xf>
    <xf numFmtId="0" fontId="129" fillId="0" borderId="1" xfId="0" applyFont="1" applyBorder="1" applyAlignment="1">
      <alignment horizontal="left" vertical="center" wrapText="1" indent="1"/>
    </xf>
    <xf numFmtId="0" fontId="130" fillId="0" borderId="1" xfId="0" applyFont="1" applyBorder="1" applyAlignment="1">
      <alignment horizontal="left" vertical="center" wrapText="1" indent="1"/>
    </xf>
    <xf numFmtId="0" fontId="131" fillId="0" borderId="1" xfId="0" applyFont="1" applyBorder="1" applyAlignment="1">
      <alignment horizontal="left" vertical="center" wrapText="1" indent="1"/>
    </xf>
    <xf numFmtId="0" fontId="132" fillId="0" borderId="1" xfId="0" applyFont="1" applyBorder="1" applyAlignment="1">
      <alignment horizontal="left" vertical="center" wrapText="1" indent="1"/>
    </xf>
    <xf numFmtId="0" fontId="133" fillId="0" borderId="1" xfId="0" applyFont="1" applyBorder="1" applyAlignment="1">
      <alignment horizontal="left" vertical="center" wrapText="1" indent="1"/>
    </xf>
    <xf numFmtId="0" fontId="134" fillId="0" borderId="1" xfId="0" applyFont="1" applyBorder="1" applyAlignment="1">
      <alignment horizontal="left" vertical="center" wrapText="1" indent="1"/>
    </xf>
    <xf numFmtId="0" fontId="135" fillId="0" borderId="1" xfId="0" applyFont="1" applyBorder="1" applyAlignment="1">
      <alignment horizontal="left" vertical="center" wrapText="1" indent="1"/>
    </xf>
    <xf numFmtId="0" fontId="136" fillId="0" borderId="1" xfId="0" applyFont="1" applyBorder="1" applyAlignment="1">
      <alignment horizontal="left" vertical="center" wrapText="1" indent="1"/>
    </xf>
    <xf numFmtId="0" fontId="137" fillId="0" borderId="1" xfId="0" applyFont="1" applyBorder="1" applyAlignment="1">
      <alignment horizontal="left" vertical="center" wrapText="1" indent="1"/>
    </xf>
    <xf numFmtId="0" fontId="138" fillId="0" borderId="1" xfId="0" applyFont="1" applyBorder="1" applyAlignment="1">
      <alignment horizontal="left" vertical="center" wrapText="1" indent="1"/>
    </xf>
    <xf numFmtId="0" fontId="139" fillId="0" borderId="1" xfId="0" applyFont="1" applyBorder="1" applyAlignment="1">
      <alignment horizontal="left" vertical="center" wrapText="1" indent="1"/>
    </xf>
    <xf numFmtId="0" fontId="140" fillId="0" borderId="1" xfId="0" applyFont="1" applyBorder="1" applyAlignment="1">
      <alignment horizontal="left" vertical="center" wrapText="1" indent="1"/>
    </xf>
    <xf numFmtId="0" fontId="141" fillId="0" borderId="1" xfId="0" applyFont="1" applyBorder="1" applyAlignment="1">
      <alignment horizontal="left" vertical="center" wrapText="1" indent="1"/>
    </xf>
    <xf numFmtId="0" fontId="142" fillId="0" borderId="1" xfId="0" applyFont="1" applyBorder="1" applyAlignment="1">
      <alignment horizontal="left" vertical="center" wrapText="1" indent="1"/>
    </xf>
    <xf numFmtId="0" fontId="143" fillId="0" borderId="1" xfId="0" applyFont="1" applyBorder="1" applyAlignment="1">
      <alignment horizontal="left" vertical="center" wrapText="1" indent="1"/>
    </xf>
    <xf numFmtId="0" fontId="144" fillId="0" borderId="1" xfId="0" applyFont="1" applyBorder="1" applyAlignment="1">
      <alignment horizontal="left" vertical="center" wrapText="1" indent="1"/>
    </xf>
    <xf numFmtId="0" fontId="145" fillId="0" borderId="1" xfId="0" applyFont="1" applyBorder="1" applyAlignment="1">
      <alignment horizontal="left" vertical="center" wrapText="1" indent="1"/>
    </xf>
    <xf numFmtId="0" fontId="146" fillId="0" borderId="1" xfId="0" applyFont="1" applyBorder="1" applyAlignment="1">
      <alignment horizontal="left" vertical="center" wrapText="1" indent="1"/>
    </xf>
    <xf numFmtId="0" fontId="147" fillId="0" borderId="1" xfId="0" applyFont="1" applyBorder="1" applyAlignment="1">
      <alignment horizontal="left" vertical="center" wrapText="1" indent="1"/>
    </xf>
    <xf numFmtId="0" fontId="148" fillId="0" borderId="1" xfId="0" applyFont="1" applyBorder="1" applyAlignment="1">
      <alignment horizontal="left" vertical="center" wrapText="1" indent="1"/>
    </xf>
    <xf numFmtId="0" fontId="149" fillId="0" borderId="1" xfId="0" applyFont="1" applyBorder="1" applyAlignment="1">
      <alignment horizontal="left" vertical="center" wrapText="1" indent="1"/>
    </xf>
    <xf numFmtId="0" fontId="150" fillId="0" borderId="1" xfId="0" applyFont="1" applyBorder="1" applyAlignment="1">
      <alignment horizontal="left" vertical="center" wrapText="1" indent="1"/>
    </xf>
    <xf numFmtId="0" fontId="151" fillId="0" borderId="1" xfId="0" applyFont="1" applyBorder="1" applyAlignment="1">
      <alignment horizontal="left" vertical="center" wrapText="1" indent="1"/>
    </xf>
    <xf numFmtId="0" fontId="152" fillId="0" borderId="1" xfId="0" applyFont="1" applyBorder="1" applyAlignment="1">
      <alignment horizontal="left" vertical="center" wrapText="1" indent="1"/>
    </xf>
    <xf numFmtId="0" fontId="153" fillId="0" borderId="1" xfId="0" applyFont="1" applyBorder="1" applyAlignment="1">
      <alignment horizontal="left" vertical="center" wrapText="1" indent="1"/>
    </xf>
    <xf numFmtId="0" fontId="154" fillId="0" borderId="1" xfId="0" applyFont="1" applyBorder="1" applyAlignment="1">
      <alignment horizontal="left" vertical="center" wrapText="1" indent="1"/>
    </xf>
    <xf numFmtId="0" fontId="155" fillId="0" borderId="1" xfId="0" applyFont="1" applyBorder="1" applyAlignment="1">
      <alignment horizontal="left" vertical="center" wrapText="1" indent="1"/>
    </xf>
    <xf numFmtId="0" fontId="156" fillId="0" borderId="1" xfId="0" applyFont="1" applyBorder="1" applyAlignment="1">
      <alignment horizontal="left" vertical="center" wrapText="1" indent="1"/>
    </xf>
    <xf numFmtId="0" fontId="157" fillId="0" borderId="1" xfId="0" applyFont="1" applyBorder="1" applyAlignment="1">
      <alignment horizontal="left" vertical="center" wrapText="1" indent="1"/>
    </xf>
    <xf numFmtId="0" fontId="158" fillId="0" borderId="1" xfId="0" applyFont="1" applyBorder="1" applyAlignment="1">
      <alignment horizontal="left" vertical="center" wrapText="1" indent="1"/>
    </xf>
    <xf numFmtId="0" fontId="159" fillId="0" borderId="1" xfId="0" applyFont="1" applyBorder="1" applyAlignment="1">
      <alignment horizontal="left" vertical="center" wrapText="1" indent="1"/>
    </xf>
    <xf numFmtId="0" fontId="160" fillId="0" borderId="1" xfId="0" applyFont="1" applyBorder="1" applyAlignment="1">
      <alignment horizontal="left" vertical="center" wrapText="1" indent="1"/>
    </xf>
    <xf numFmtId="0" fontId="161" fillId="0" borderId="1" xfId="0" applyFont="1" applyBorder="1" applyAlignment="1">
      <alignment horizontal="left" vertical="center" wrapText="1" indent="1"/>
    </xf>
    <xf numFmtId="0" fontId="162" fillId="0" borderId="1" xfId="0" applyFont="1" applyBorder="1" applyAlignment="1">
      <alignment horizontal="left" vertical="center" wrapText="1" indent="1"/>
    </xf>
    <xf numFmtId="0" fontId="163" fillId="0" borderId="1" xfId="0" applyFont="1" applyBorder="1" applyAlignment="1">
      <alignment horizontal="left" vertical="center" wrapText="1" indent="1"/>
    </xf>
    <xf numFmtId="0" fontId="164" fillId="0" borderId="1" xfId="0" applyFont="1" applyBorder="1" applyAlignment="1">
      <alignment horizontal="left" vertical="center" wrapText="1" indent="1"/>
    </xf>
    <xf numFmtId="0" fontId="165" fillId="0" borderId="1" xfId="0" applyFont="1" applyBorder="1" applyAlignment="1">
      <alignment horizontal="left" vertical="center" wrapText="1" indent="1"/>
    </xf>
    <xf numFmtId="0" fontId="166" fillId="0" borderId="1" xfId="0" applyFont="1" applyBorder="1" applyAlignment="1">
      <alignment horizontal="left" vertical="center" wrapText="1" indent="1"/>
    </xf>
    <xf numFmtId="0" fontId="167" fillId="0" borderId="1" xfId="0" applyFont="1" applyBorder="1" applyAlignment="1">
      <alignment horizontal="left" vertical="center" wrapText="1" indent="1"/>
    </xf>
    <xf numFmtId="0" fontId="168" fillId="0" borderId="1" xfId="0" applyFont="1" applyBorder="1" applyAlignment="1">
      <alignment horizontal="left" vertical="center" wrapText="1" indent="1"/>
    </xf>
    <xf numFmtId="0" fontId="169" fillId="0" borderId="1" xfId="0" applyFont="1" applyBorder="1" applyAlignment="1">
      <alignment horizontal="left" vertical="center" wrapText="1" indent="1"/>
    </xf>
    <xf numFmtId="0" fontId="170" fillId="0" borderId="1" xfId="0" applyFont="1" applyBorder="1" applyAlignment="1">
      <alignment horizontal="left" vertical="center" wrapText="1" indent="1"/>
    </xf>
    <xf numFmtId="0" fontId="171" fillId="0" borderId="1" xfId="0" applyFont="1" applyBorder="1" applyAlignment="1">
      <alignment horizontal="left" vertical="center" wrapText="1" indent="1"/>
    </xf>
    <xf numFmtId="0" fontId="172" fillId="0" borderId="1" xfId="0" applyFont="1" applyBorder="1" applyAlignment="1">
      <alignment horizontal="left" vertical="center" wrapText="1" indent="1"/>
    </xf>
    <xf numFmtId="0" fontId="173" fillId="0" borderId="1" xfId="0" applyFont="1" applyBorder="1" applyAlignment="1">
      <alignment horizontal="left" vertical="center" wrapText="1" indent="1"/>
    </xf>
    <xf numFmtId="0" fontId="174" fillId="0" borderId="1" xfId="0" applyFont="1" applyBorder="1" applyAlignment="1">
      <alignment horizontal="left" vertical="center" wrapText="1" indent="1"/>
    </xf>
    <xf numFmtId="0" fontId="175" fillId="0" borderId="1" xfId="0" applyFont="1" applyBorder="1" applyAlignment="1">
      <alignment horizontal="left" vertical="center" wrapText="1" indent="1"/>
    </xf>
    <xf numFmtId="0" fontId="176" fillId="0" borderId="1" xfId="0" applyFont="1" applyBorder="1" applyAlignment="1">
      <alignment horizontal="left" vertical="center" wrapText="1" indent="1"/>
    </xf>
    <xf numFmtId="0" fontId="177" fillId="0" borderId="1" xfId="0" applyFont="1" applyBorder="1" applyAlignment="1">
      <alignment horizontal="left" vertical="center" wrapText="1" indent="1"/>
    </xf>
    <xf numFmtId="0" fontId="178" fillId="0" borderId="1" xfId="0" applyFont="1" applyBorder="1" applyAlignment="1">
      <alignment horizontal="left" vertical="center" wrapText="1" indent="1"/>
    </xf>
    <xf numFmtId="0" fontId="179" fillId="0" borderId="1" xfId="0" applyFont="1" applyBorder="1" applyAlignment="1">
      <alignment horizontal="left" vertical="center" wrapText="1" indent="1"/>
    </xf>
    <xf numFmtId="0" fontId="180" fillId="0" borderId="1" xfId="0" applyFont="1" applyBorder="1" applyAlignment="1">
      <alignment horizontal="left" vertical="center" wrapText="1" indent="1"/>
    </xf>
    <xf numFmtId="0" fontId="181" fillId="0" borderId="1" xfId="0" applyFont="1" applyBorder="1" applyAlignment="1">
      <alignment horizontal="left" vertical="center" wrapText="1" indent="1"/>
    </xf>
    <xf numFmtId="0" fontId="182" fillId="0" borderId="1" xfId="0" applyFont="1" applyBorder="1" applyAlignment="1">
      <alignment horizontal="left" vertical="center" wrapText="1" indent="1"/>
    </xf>
    <xf numFmtId="0" fontId="183" fillId="0" borderId="1" xfId="0" applyFont="1" applyBorder="1" applyAlignment="1">
      <alignment horizontal="left" vertical="center" wrapText="1" indent="1"/>
    </xf>
    <xf numFmtId="0" fontId="184" fillId="0" borderId="1" xfId="0" applyFont="1" applyBorder="1" applyAlignment="1">
      <alignment horizontal="left" vertical="center" wrapText="1" indent="1"/>
    </xf>
    <xf numFmtId="0" fontId="185" fillId="0" borderId="1" xfId="0" applyFont="1" applyBorder="1" applyAlignment="1">
      <alignment horizontal="left" vertical="center" wrapText="1" indent="1"/>
    </xf>
    <xf numFmtId="0" fontId="186" fillId="0" borderId="1" xfId="0" applyFont="1" applyBorder="1" applyAlignment="1">
      <alignment horizontal="left" vertical="center" wrapText="1" indent="1"/>
    </xf>
    <xf numFmtId="0" fontId="187" fillId="0" borderId="1" xfId="0" applyFont="1" applyBorder="1" applyAlignment="1">
      <alignment horizontal="left" vertical="center" wrapText="1" indent="1"/>
    </xf>
    <xf numFmtId="0" fontId="188" fillId="0" borderId="1" xfId="0" applyFont="1" applyBorder="1" applyAlignment="1">
      <alignment horizontal="left" vertical="center" wrapText="1" indent="1"/>
    </xf>
    <xf numFmtId="0" fontId="189" fillId="0" borderId="1" xfId="0" applyFont="1" applyBorder="1" applyAlignment="1">
      <alignment horizontal="left" vertical="center" wrapText="1" indent="1"/>
    </xf>
    <xf numFmtId="0" fontId="190" fillId="0" borderId="1" xfId="0" applyFont="1" applyBorder="1" applyAlignment="1">
      <alignment horizontal="left" vertical="center" wrapText="1" indent="1"/>
    </xf>
    <xf numFmtId="0" fontId="191" fillId="0" borderId="1" xfId="0" applyFont="1" applyBorder="1" applyAlignment="1">
      <alignment horizontal="left" vertical="center" wrapText="1" indent="1"/>
    </xf>
    <xf numFmtId="0" fontId="192" fillId="0" borderId="1" xfId="0" applyFont="1" applyBorder="1" applyAlignment="1">
      <alignment horizontal="left" vertical="center" wrapText="1" indent="1"/>
    </xf>
    <xf numFmtId="0" fontId="193" fillId="0" borderId="1" xfId="0" applyFont="1" applyBorder="1" applyAlignment="1">
      <alignment horizontal="left" vertical="center" wrapText="1" indent="1"/>
    </xf>
    <xf numFmtId="0" fontId="194" fillId="0" borderId="1" xfId="0" applyFont="1" applyBorder="1" applyAlignment="1">
      <alignment horizontal="left" vertical="center" wrapText="1" indent="1"/>
    </xf>
    <xf numFmtId="0" fontId="195" fillId="0" borderId="1" xfId="0" applyFont="1" applyBorder="1" applyAlignment="1">
      <alignment horizontal="left" vertical="center" wrapText="1" indent="1"/>
    </xf>
    <xf numFmtId="0" fontId="196" fillId="0" borderId="1" xfId="0" applyFont="1" applyBorder="1" applyAlignment="1">
      <alignment horizontal="left" vertical="center" wrapText="1" indent="1"/>
    </xf>
    <xf numFmtId="0" fontId="197" fillId="0" borderId="1" xfId="0" applyFont="1" applyBorder="1" applyAlignment="1">
      <alignment horizontal="left" vertical="center" wrapText="1" indent="1"/>
    </xf>
    <xf numFmtId="0" fontId="198" fillId="0" borderId="1" xfId="0" applyFont="1" applyBorder="1" applyAlignment="1">
      <alignment horizontal="left" vertical="center" wrapText="1" indent="1"/>
    </xf>
    <xf numFmtId="0" fontId="199" fillId="0" borderId="1" xfId="0" applyFont="1" applyBorder="1" applyAlignment="1">
      <alignment horizontal="left" vertical="center" wrapText="1" indent="1"/>
    </xf>
    <xf numFmtId="0" fontId="200" fillId="0" borderId="1" xfId="0" applyFont="1" applyBorder="1" applyAlignment="1">
      <alignment horizontal="left" vertical="center" wrapText="1" indent="1"/>
    </xf>
    <xf numFmtId="0" fontId="201" fillId="0" borderId="1" xfId="0" applyFont="1" applyBorder="1" applyAlignment="1">
      <alignment horizontal="left" vertical="center" wrapText="1" indent="1"/>
    </xf>
    <xf numFmtId="0" fontId="202" fillId="0" borderId="1" xfId="0" applyFont="1" applyBorder="1" applyAlignment="1">
      <alignment horizontal="left" vertical="center" wrapText="1" indent="1"/>
    </xf>
    <xf numFmtId="0" fontId="203" fillId="0" borderId="1" xfId="0" applyFont="1" applyBorder="1" applyAlignment="1">
      <alignment horizontal="left" vertical="center" wrapText="1" indent="1"/>
    </xf>
    <xf numFmtId="0" fontId="204" fillId="0" borderId="1" xfId="0" applyFont="1" applyBorder="1" applyAlignment="1">
      <alignment horizontal="left" vertical="center" wrapText="1" indent="1"/>
    </xf>
    <xf numFmtId="0" fontId="205" fillId="0" borderId="1" xfId="0" applyFont="1" applyBorder="1" applyAlignment="1">
      <alignment horizontal="left" vertical="center" wrapText="1" indent="1"/>
    </xf>
    <xf numFmtId="0" fontId="206" fillId="0" borderId="1" xfId="0" applyFont="1" applyBorder="1" applyAlignment="1">
      <alignment horizontal="left" vertical="center" wrapText="1" indent="1"/>
    </xf>
    <xf numFmtId="0" fontId="207" fillId="0" borderId="1" xfId="0" applyFont="1" applyBorder="1" applyAlignment="1">
      <alignment horizontal="left" vertical="center" wrapText="1" indent="1"/>
    </xf>
    <xf numFmtId="0" fontId="208" fillId="0" borderId="1" xfId="0" applyFont="1" applyBorder="1" applyAlignment="1">
      <alignment horizontal="left" vertical="center" wrapText="1" indent="1"/>
    </xf>
    <xf numFmtId="0" fontId="209" fillId="0" borderId="1" xfId="0" applyFont="1" applyBorder="1" applyAlignment="1">
      <alignment horizontal="left" vertical="center" wrapText="1" indent="1"/>
    </xf>
    <xf numFmtId="0" fontId="210" fillId="0" borderId="1" xfId="0" applyFont="1" applyBorder="1" applyAlignment="1">
      <alignment horizontal="left" vertical="center" wrapText="1" indent="1"/>
    </xf>
    <xf numFmtId="0" fontId="211" fillId="0" borderId="1" xfId="0" applyFont="1" applyBorder="1" applyAlignment="1">
      <alignment horizontal="left" vertical="center" wrapText="1" indent="1"/>
    </xf>
    <xf numFmtId="0" fontId="212" fillId="0" borderId="1" xfId="0" applyFont="1" applyBorder="1" applyAlignment="1">
      <alignment horizontal="left" vertical="center" wrapText="1" indent="1"/>
    </xf>
    <xf numFmtId="0" fontId="213" fillId="0" borderId="1" xfId="0" applyFont="1" applyBorder="1" applyAlignment="1">
      <alignment horizontal="left" vertical="center" wrapText="1" indent="1"/>
    </xf>
    <xf numFmtId="0" fontId="214" fillId="0" borderId="1" xfId="0" applyFont="1" applyBorder="1" applyAlignment="1">
      <alignment horizontal="left" vertical="center" wrapText="1" indent="1"/>
    </xf>
    <xf numFmtId="0" fontId="215" fillId="0" borderId="1" xfId="0" applyFont="1" applyBorder="1" applyAlignment="1">
      <alignment horizontal="left" vertical="center" wrapText="1" indent="1"/>
    </xf>
    <xf numFmtId="0" fontId="216" fillId="0" borderId="1" xfId="0" applyFont="1" applyBorder="1" applyAlignment="1">
      <alignment horizontal="left" vertical="center" wrapText="1" indent="1"/>
    </xf>
    <xf numFmtId="0" fontId="217" fillId="0" borderId="1" xfId="0" applyFont="1" applyBorder="1" applyAlignment="1">
      <alignment horizontal="left" vertical="center" wrapText="1" indent="1"/>
    </xf>
    <xf numFmtId="0" fontId="218" fillId="0" borderId="1" xfId="0" applyFont="1" applyBorder="1" applyAlignment="1">
      <alignment horizontal="left" vertical="center" wrapText="1" indent="1"/>
    </xf>
    <xf numFmtId="0" fontId="219" fillId="0" borderId="1" xfId="0" applyFont="1" applyBorder="1" applyAlignment="1">
      <alignment horizontal="left" vertical="center" wrapText="1" indent="1"/>
    </xf>
    <xf numFmtId="0" fontId="220" fillId="0" borderId="1" xfId="0" applyFont="1" applyBorder="1" applyAlignment="1">
      <alignment horizontal="left" vertical="center" wrapText="1" indent="1"/>
    </xf>
    <xf numFmtId="0" fontId="221" fillId="0" borderId="1" xfId="0" applyFont="1" applyBorder="1" applyAlignment="1">
      <alignment horizontal="left" vertical="center" wrapText="1" indent="1"/>
    </xf>
    <xf numFmtId="0" fontId="222" fillId="0" borderId="1" xfId="0" applyFont="1" applyBorder="1" applyAlignment="1">
      <alignment horizontal="left" vertical="center" wrapText="1" indent="1"/>
    </xf>
    <xf numFmtId="0" fontId="223" fillId="0" borderId="1" xfId="0" applyFont="1" applyBorder="1" applyAlignment="1">
      <alignment horizontal="left" vertical="center" wrapText="1" indent="1"/>
    </xf>
    <xf numFmtId="0" fontId="224" fillId="0" borderId="1" xfId="0" applyFont="1" applyBorder="1" applyAlignment="1">
      <alignment horizontal="left" vertical="center" wrapText="1" indent="1"/>
    </xf>
    <xf numFmtId="0" fontId="225" fillId="0" borderId="1" xfId="0" applyFont="1" applyBorder="1" applyAlignment="1">
      <alignment horizontal="left" vertical="center" wrapText="1" indent="1"/>
    </xf>
    <xf numFmtId="0" fontId="226" fillId="0" borderId="1" xfId="0" applyFont="1" applyBorder="1" applyAlignment="1">
      <alignment horizontal="left" vertical="center" wrapText="1" indent="1"/>
    </xf>
    <xf numFmtId="0" fontId="227" fillId="0" borderId="1" xfId="0" applyFont="1" applyBorder="1" applyAlignment="1">
      <alignment horizontal="left" vertical="center" wrapText="1" indent="1"/>
    </xf>
    <xf numFmtId="0" fontId="228" fillId="0" borderId="1" xfId="0" applyFont="1" applyBorder="1" applyAlignment="1">
      <alignment horizontal="left" vertical="center" wrapText="1" indent="1"/>
    </xf>
    <xf numFmtId="0" fontId="229" fillId="0" borderId="1" xfId="0" applyFont="1" applyBorder="1" applyAlignment="1">
      <alignment horizontal="left" vertical="center" wrapText="1" indent="1"/>
    </xf>
    <xf numFmtId="0" fontId="230" fillId="0" borderId="1" xfId="0" applyFont="1" applyBorder="1" applyAlignment="1">
      <alignment horizontal="left" vertical="center" wrapText="1" indent="1"/>
    </xf>
    <xf numFmtId="0" fontId="231" fillId="0" borderId="1" xfId="0" applyFont="1" applyBorder="1" applyAlignment="1">
      <alignment horizontal="left" vertical="center" wrapText="1" indent="1"/>
    </xf>
    <xf numFmtId="0" fontId="232" fillId="0" borderId="1" xfId="0" applyFont="1" applyBorder="1" applyAlignment="1">
      <alignment horizontal="left" vertical="center" wrapText="1" indent="1"/>
    </xf>
    <xf numFmtId="0" fontId="233" fillId="0" borderId="1" xfId="0" applyFont="1" applyBorder="1" applyAlignment="1">
      <alignment horizontal="left" vertical="center" wrapText="1" indent="1"/>
    </xf>
    <xf numFmtId="0" fontId="234" fillId="0" borderId="1" xfId="0" applyFont="1" applyBorder="1" applyAlignment="1">
      <alignment horizontal="left" vertical="center" wrapText="1" indent="1"/>
    </xf>
    <xf numFmtId="0" fontId="235" fillId="0" borderId="1" xfId="0" applyFont="1" applyBorder="1" applyAlignment="1">
      <alignment horizontal="left" vertical="center" wrapText="1" indent="1"/>
    </xf>
    <xf numFmtId="0" fontId="236" fillId="0" borderId="1" xfId="0" applyFont="1" applyBorder="1" applyAlignment="1">
      <alignment horizontal="left" vertical="center" wrapText="1" indent="1"/>
    </xf>
    <xf numFmtId="0" fontId="237" fillId="0" borderId="1" xfId="0" applyFont="1" applyBorder="1" applyAlignment="1">
      <alignment horizontal="left" vertical="center" wrapText="1" indent="1"/>
    </xf>
    <xf numFmtId="0" fontId="238" fillId="0" borderId="1" xfId="0" applyFont="1" applyBorder="1" applyAlignment="1">
      <alignment horizontal="left" vertical="center" wrapText="1" indent="1"/>
    </xf>
    <xf numFmtId="0" fontId="239" fillId="0" borderId="1" xfId="0" applyFont="1" applyBorder="1" applyAlignment="1">
      <alignment horizontal="left" vertical="center" wrapText="1" indent="1"/>
    </xf>
    <xf numFmtId="0" fontId="240" fillId="0" borderId="1" xfId="0" applyFont="1" applyBorder="1" applyAlignment="1">
      <alignment horizontal="left" vertical="center" wrapText="1" indent="1"/>
    </xf>
    <xf numFmtId="0" fontId="241" fillId="0" borderId="1" xfId="0" applyFont="1" applyBorder="1" applyAlignment="1">
      <alignment horizontal="left" vertical="center" wrapText="1" indent="1"/>
    </xf>
    <xf numFmtId="0" fontId="242" fillId="0" borderId="1" xfId="0" applyFont="1" applyBorder="1" applyAlignment="1">
      <alignment horizontal="left" vertical="center" wrapText="1" indent="1"/>
    </xf>
    <xf numFmtId="0" fontId="243" fillId="0" borderId="1" xfId="0" applyFont="1" applyBorder="1" applyAlignment="1">
      <alignment horizontal="left" vertical="center" wrapText="1" indent="1"/>
    </xf>
    <xf numFmtId="0" fontId="244" fillId="0" borderId="1" xfId="0" applyFont="1" applyBorder="1" applyAlignment="1">
      <alignment horizontal="left" vertical="center" wrapText="1" indent="1"/>
    </xf>
    <xf numFmtId="0" fontId="245" fillId="0" borderId="1" xfId="0" applyFont="1" applyBorder="1" applyAlignment="1">
      <alignment horizontal="left" vertical="center" wrapText="1" indent="1"/>
    </xf>
    <xf numFmtId="0" fontId="246" fillId="0" borderId="1" xfId="0" applyFont="1" applyBorder="1" applyAlignment="1">
      <alignment horizontal="left" vertical="center" wrapText="1" indent="1"/>
    </xf>
    <xf numFmtId="0" fontId="247" fillId="0" borderId="1" xfId="0" applyFont="1" applyBorder="1" applyAlignment="1">
      <alignment horizontal="left" vertical="center" wrapText="1" indent="1"/>
    </xf>
    <xf numFmtId="0" fontId="248" fillId="0" borderId="1" xfId="0" applyFont="1" applyBorder="1" applyAlignment="1">
      <alignment horizontal="left" vertical="center" wrapText="1" indent="1"/>
    </xf>
    <xf numFmtId="0" fontId="249" fillId="0" borderId="1" xfId="0" applyFont="1" applyBorder="1" applyAlignment="1">
      <alignment horizontal="left" vertical="center" wrapText="1" indent="1"/>
    </xf>
    <xf numFmtId="0" fontId="250" fillId="0" borderId="1" xfId="0" applyFont="1" applyBorder="1" applyAlignment="1">
      <alignment horizontal="left" vertical="center" wrapText="1" indent="1"/>
    </xf>
    <xf numFmtId="0" fontId="251" fillId="0" borderId="1" xfId="0" applyFont="1" applyBorder="1" applyAlignment="1">
      <alignment horizontal="left" vertical="center" wrapText="1" indent="1"/>
    </xf>
    <xf numFmtId="0" fontId="252" fillId="0" borderId="1" xfId="0" applyFont="1" applyBorder="1" applyAlignment="1">
      <alignment horizontal="left" vertical="center" wrapText="1" indent="1"/>
    </xf>
    <xf numFmtId="0" fontId="253" fillId="0" borderId="1" xfId="0" applyFont="1" applyBorder="1" applyAlignment="1">
      <alignment horizontal="left" vertical="center" wrapText="1" indent="1"/>
    </xf>
    <xf numFmtId="0" fontId="254" fillId="0" borderId="1" xfId="0" applyFont="1" applyBorder="1" applyAlignment="1">
      <alignment horizontal="left" vertical="center" wrapText="1" indent="1"/>
    </xf>
    <xf numFmtId="0" fontId="255" fillId="0" borderId="1" xfId="0" applyFont="1" applyBorder="1" applyAlignment="1">
      <alignment horizontal="left" vertical="center" wrapText="1" indent="1"/>
    </xf>
    <xf numFmtId="0" fontId="256" fillId="0" borderId="1" xfId="0" applyFont="1" applyBorder="1" applyAlignment="1">
      <alignment horizontal="left" vertical="center" wrapText="1" indent="1"/>
    </xf>
    <xf numFmtId="0" fontId="257" fillId="0" borderId="1" xfId="0" applyFont="1" applyBorder="1" applyAlignment="1">
      <alignment horizontal="left" vertical="center" wrapText="1" indent="1"/>
    </xf>
    <xf numFmtId="0" fontId="258" fillId="0" borderId="1" xfId="0" applyFont="1" applyBorder="1" applyAlignment="1">
      <alignment horizontal="left" vertical="center" wrapText="1" indent="1"/>
    </xf>
    <xf numFmtId="0" fontId="259" fillId="0" borderId="1" xfId="0" applyFont="1" applyBorder="1" applyAlignment="1">
      <alignment horizontal="left" vertical="center" wrapText="1" indent="1"/>
    </xf>
    <xf numFmtId="0" fontId="260" fillId="0" borderId="1" xfId="0" applyFont="1" applyBorder="1" applyAlignment="1">
      <alignment horizontal="left" vertical="center" wrapText="1" indent="1"/>
    </xf>
    <xf numFmtId="0" fontId="261" fillId="0" borderId="1" xfId="0" applyFont="1" applyBorder="1" applyAlignment="1">
      <alignment horizontal="left" vertical="center" wrapText="1" indent="1"/>
    </xf>
    <xf numFmtId="0" fontId="262" fillId="0" borderId="1" xfId="0" applyFont="1" applyBorder="1" applyAlignment="1">
      <alignment horizontal="left" vertical="center" wrapText="1" indent="1"/>
    </xf>
    <xf numFmtId="0" fontId="263" fillId="0" borderId="1" xfId="0" applyFont="1" applyBorder="1" applyAlignment="1">
      <alignment horizontal="left" vertical="center" wrapText="1" indent="1"/>
    </xf>
    <xf numFmtId="0" fontId="264" fillId="0" borderId="1" xfId="0" applyFont="1" applyBorder="1" applyAlignment="1">
      <alignment horizontal="left" vertical="center" wrapText="1" indent="1"/>
    </xf>
    <xf numFmtId="0" fontId="265" fillId="0" borderId="1" xfId="0" applyFont="1" applyBorder="1" applyAlignment="1">
      <alignment horizontal="left" vertical="center" wrapText="1" indent="1"/>
    </xf>
    <xf numFmtId="0" fontId="266" fillId="0" borderId="1" xfId="0" applyFont="1" applyBorder="1" applyAlignment="1">
      <alignment horizontal="left" vertical="center" wrapText="1" indent="1"/>
    </xf>
    <xf numFmtId="0" fontId="267" fillId="0" borderId="1" xfId="0" applyFont="1" applyBorder="1" applyAlignment="1">
      <alignment horizontal="left" vertical="center" wrapText="1" indent="1"/>
    </xf>
    <xf numFmtId="0" fontId="268" fillId="0" borderId="1" xfId="0" applyFont="1" applyBorder="1" applyAlignment="1">
      <alignment horizontal="left" vertical="center" wrapText="1" indent="1"/>
    </xf>
    <xf numFmtId="0" fontId="269" fillId="0" borderId="1" xfId="0" applyFont="1" applyBorder="1" applyAlignment="1">
      <alignment horizontal="left" vertical="center" wrapText="1" indent="1"/>
    </xf>
    <xf numFmtId="0" fontId="270" fillId="0" borderId="1" xfId="0" applyFont="1" applyBorder="1" applyAlignment="1">
      <alignment horizontal="left" vertical="center" wrapText="1" indent="1"/>
    </xf>
    <xf numFmtId="0" fontId="271" fillId="0" borderId="1" xfId="0" applyFont="1" applyBorder="1" applyAlignment="1">
      <alignment horizontal="left" vertical="center" wrapText="1" indent="1"/>
    </xf>
    <xf numFmtId="0" fontId="272" fillId="0" borderId="1" xfId="0" applyFont="1" applyBorder="1" applyAlignment="1">
      <alignment horizontal="left" vertical="center" wrapText="1" indent="1"/>
    </xf>
    <xf numFmtId="0" fontId="273" fillId="0" borderId="1" xfId="0" applyFont="1" applyBorder="1" applyAlignment="1">
      <alignment horizontal="left" vertical="center" wrapText="1" indent="1"/>
    </xf>
    <xf numFmtId="0" fontId="274" fillId="0" borderId="1" xfId="0" applyFont="1" applyBorder="1" applyAlignment="1">
      <alignment horizontal="left" vertical="center" wrapText="1" indent="1"/>
    </xf>
    <xf numFmtId="0" fontId="275" fillId="0" borderId="1" xfId="0" applyFont="1" applyBorder="1" applyAlignment="1">
      <alignment horizontal="left" vertical="center" wrapText="1" indent="1"/>
    </xf>
    <xf numFmtId="0" fontId="276" fillId="0" borderId="1" xfId="0" applyFont="1" applyBorder="1" applyAlignment="1">
      <alignment horizontal="left" vertical="center" wrapText="1" indent="1"/>
    </xf>
    <xf numFmtId="0" fontId="277" fillId="0" borderId="1" xfId="0" applyFont="1" applyBorder="1" applyAlignment="1">
      <alignment horizontal="left" vertical="center" wrapText="1" indent="1"/>
    </xf>
    <xf numFmtId="0" fontId="278" fillId="0" borderId="1" xfId="0" applyFont="1" applyBorder="1" applyAlignment="1">
      <alignment horizontal="left" vertical="center" wrapText="1" indent="1"/>
    </xf>
    <xf numFmtId="0" fontId="279" fillId="0" borderId="1" xfId="0" applyFont="1" applyBorder="1" applyAlignment="1">
      <alignment horizontal="left" vertical="center" wrapText="1" indent="1"/>
    </xf>
    <xf numFmtId="0" fontId="280" fillId="0" borderId="1" xfId="0" applyFont="1" applyBorder="1" applyAlignment="1">
      <alignment horizontal="left" vertical="center" wrapText="1" indent="1"/>
    </xf>
    <xf numFmtId="0" fontId="281" fillId="0" borderId="1" xfId="0" applyFont="1" applyBorder="1" applyAlignment="1">
      <alignment horizontal="left" vertical="center" wrapText="1" indent="1"/>
    </xf>
    <xf numFmtId="0" fontId="282" fillId="0" borderId="1" xfId="0" applyFont="1" applyBorder="1" applyAlignment="1">
      <alignment horizontal="left" vertical="center" wrapText="1" indent="1"/>
    </xf>
    <xf numFmtId="0" fontId="283" fillId="0" borderId="1" xfId="0" applyFont="1" applyBorder="1" applyAlignment="1">
      <alignment horizontal="left" vertical="center" wrapText="1" indent="1"/>
    </xf>
    <xf numFmtId="0" fontId="284" fillId="0" borderId="1" xfId="0" applyFont="1" applyBorder="1" applyAlignment="1">
      <alignment horizontal="left" vertical="center" wrapText="1" indent="1"/>
    </xf>
    <xf numFmtId="0" fontId="285" fillId="0" borderId="1" xfId="0" applyFont="1" applyBorder="1" applyAlignment="1">
      <alignment horizontal="left" vertical="center" wrapText="1" indent="1"/>
    </xf>
    <xf numFmtId="0" fontId="286" fillId="0" borderId="1" xfId="0" applyFont="1" applyBorder="1" applyAlignment="1">
      <alignment horizontal="left" vertical="center" wrapText="1" indent="1"/>
    </xf>
    <xf numFmtId="0" fontId="287" fillId="0" borderId="1" xfId="0" applyFont="1" applyBorder="1" applyAlignment="1">
      <alignment horizontal="left" vertical="center" wrapText="1" indent="1"/>
    </xf>
    <xf numFmtId="0" fontId="288" fillId="0" borderId="1" xfId="0" applyFont="1" applyBorder="1" applyAlignment="1">
      <alignment horizontal="left" vertical="center" wrapText="1" indent="1"/>
    </xf>
    <xf numFmtId="0" fontId="289" fillId="0" borderId="1" xfId="0" applyFont="1" applyBorder="1" applyAlignment="1">
      <alignment horizontal="left" vertical="center" wrapText="1" indent="1"/>
    </xf>
    <xf numFmtId="0" fontId="290" fillId="0" borderId="1" xfId="0" applyFont="1" applyBorder="1" applyAlignment="1">
      <alignment horizontal="left" vertical="center" wrapText="1" indent="1"/>
    </xf>
    <xf numFmtId="0" fontId="291" fillId="0" borderId="1" xfId="0" applyFont="1" applyBorder="1" applyAlignment="1">
      <alignment horizontal="left" vertical="center" wrapText="1" indent="1"/>
    </xf>
    <xf numFmtId="0" fontId="292" fillId="0" borderId="1" xfId="0" applyFont="1" applyBorder="1" applyAlignment="1">
      <alignment horizontal="left" vertical="center" wrapText="1" indent="1"/>
    </xf>
    <xf numFmtId="0" fontId="293" fillId="0" borderId="1" xfId="0" applyFont="1" applyBorder="1" applyAlignment="1">
      <alignment horizontal="left" vertical="center" wrapText="1" indent="1"/>
    </xf>
    <xf numFmtId="0" fontId="294" fillId="0" borderId="1" xfId="0" applyFont="1" applyBorder="1" applyAlignment="1">
      <alignment horizontal="left" vertical="center" wrapText="1" indent="1"/>
    </xf>
    <xf numFmtId="0" fontId="295" fillId="0" borderId="1" xfId="0" applyFont="1" applyBorder="1" applyAlignment="1">
      <alignment horizontal="left" vertical="center" wrapText="1" indent="1"/>
    </xf>
    <xf numFmtId="0" fontId="296" fillId="0" borderId="1" xfId="0" applyFont="1" applyBorder="1" applyAlignment="1">
      <alignment horizontal="left" vertical="center" wrapText="1" indent="1"/>
    </xf>
    <xf numFmtId="0" fontId="297" fillId="0" borderId="1" xfId="0" applyFont="1" applyBorder="1" applyAlignment="1">
      <alignment horizontal="left" vertical="center" wrapText="1" indent="1"/>
    </xf>
    <xf numFmtId="0" fontId="298" fillId="0" borderId="1" xfId="0" applyFont="1" applyBorder="1" applyAlignment="1">
      <alignment horizontal="left" vertical="center" wrapText="1" indent="1"/>
    </xf>
    <xf numFmtId="0" fontId="299" fillId="0" borderId="1" xfId="0" applyFont="1" applyBorder="1" applyAlignment="1">
      <alignment horizontal="left" vertical="center" wrapText="1" indent="1"/>
    </xf>
    <xf numFmtId="0" fontId="300" fillId="0" borderId="1" xfId="0" applyFont="1" applyBorder="1" applyAlignment="1">
      <alignment horizontal="left" vertical="center" wrapText="1" indent="1"/>
    </xf>
    <xf numFmtId="0" fontId="301" fillId="0" borderId="1" xfId="0" applyFont="1" applyBorder="1" applyAlignment="1">
      <alignment horizontal="left" vertical="center" wrapText="1" indent="1"/>
    </xf>
    <xf numFmtId="0" fontId="302" fillId="0" borderId="1" xfId="0" applyFont="1" applyBorder="1" applyAlignment="1">
      <alignment horizontal="left" vertical="center" wrapText="1" indent="1"/>
    </xf>
    <xf numFmtId="0" fontId="303" fillId="0" borderId="1" xfId="0" applyFont="1" applyBorder="1" applyAlignment="1">
      <alignment horizontal="left" vertical="center" wrapText="1" indent="1"/>
    </xf>
    <xf numFmtId="0" fontId="304" fillId="0" borderId="1" xfId="0" applyFont="1" applyBorder="1" applyAlignment="1">
      <alignment horizontal="left" vertical="center" wrapText="1" indent="1"/>
    </xf>
    <xf numFmtId="0" fontId="305" fillId="0" borderId="1" xfId="0" applyFont="1" applyBorder="1" applyAlignment="1">
      <alignment horizontal="left" vertical="center" wrapText="1" indent="1"/>
    </xf>
    <xf numFmtId="0" fontId="306" fillId="0" borderId="1" xfId="0" applyFont="1" applyBorder="1" applyAlignment="1">
      <alignment horizontal="left" vertical="center" wrapText="1" indent="1"/>
    </xf>
    <xf numFmtId="0" fontId="307" fillId="0" borderId="1" xfId="0" applyFont="1" applyBorder="1" applyAlignment="1">
      <alignment horizontal="left" vertical="center" wrapText="1" indent="1"/>
    </xf>
    <xf numFmtId="0" fontId="308" fillId="0" borderId="1" xfId="0" applyFont="1" applyBorder="1" applyAlignment="1">
      <alignment horizontal="left" vertical="center" wrapText="1" indent="1"/>
    </xf>
    <xf numFmtId="0" fontId="309" fillId="0" borderId="1" xfId="0" applyFont="1" applyBorder="1" applyAlignment="1">
      <alignment horizontal="left" vertical="center" wrapText="1" indent="1"/>
    </xf>
    <xf numFmtId="0" fontId="310" fillId="0" borderId="1" xfId="0" applyFont="1" applyBorder="1" applyAlignment="1">
      <alignment horizontal="left" vertical="center" wrapText="1" indent="1"/>
    </xf>
    <xf numFmtId="0" fontId="311" fillId="0" borderId="1" xfId="0" applyFont="1" applyBorder="1" applyAlignment="1">
      <alignment horizontal="left" vertical="center" wrapText="1" indent="1"/>
    </xf>
    <xf numFmtId="0" fontId="312" fillId="0" borderId="1" xfId="0" applyFont="1" applyBorder="1" applyAlignment="1">
      <alignment horizontal="left" vertical="center" wrapText="1" indent="1"/>
    </xf>
    <xf numFmtId="0" fontId="313" fillId="0" borderId="1" xfId="0" applyFont="1" applyBorder="1" applyAlignment="1">
      <alignment horizontal="left" vertical="center" wrapText="1" indent="1"/>
    </xf>
    <xf numFmtId="0" fontId="314" fillId="0" borderId="1" xfId="0" applyFont="1" applyBorder="1" applyAlignment="1">
      <alignment horizontal="left" vertical="center" wrapText="1" indent="1"/>
    </xf>
    <xf numFmtId="0" fontId="315" fillId="0" borderId="1" xfId="0" applyFont="1" applyBorder="1" applyAlignment="1">
      <alignment horizontal="left" vertical="center" wrapText="1" indent="1"/>
    </xf>
    <xf numFmtId="0" fontId="316" fillId="0" borderId="1" xfId="0" applyFont="1" applyBorder="1" applyAlignment="1">
      <alignment horizontal="left" vertical="center" wrapText="1" indent="1"/>
    </xf>
    <xf numFmtId="0" fontId="317" fillId="0" borderId="1" xfId="0" applyFont="1" applyBorder="1" applyAlignment="1">
      <alignment horizontal="left" vertical="center" wrapText="1" indent="1"/>
    </xf>
    <xf numFmtId="0" fontId="318" fillId="0" borderId="1" xfId="0" applyFont="1" applyBorder="1" applyAlignment="1">
      <alignment horizontal="left" vertical="center" wrapText="1" indent="1"/>
    </xf>
    <xf numFmtId="0" fontId="319" fillId="0" borderId="1" xfId="0" applyFont="1" applyBorder="1" applyAlignment="1">
      <alignment horizontal="left" vertical="center" wrapText="1" indent="1"/>
    </xf>
    <xf numFmtId="0" fontId="320" fillId="0" borderId="1" xfId="0" applyFont="1" applyBorder="1" applyAlignment="1">
      <alignment horizontal="left" vertical="center" wrapText="1" indent="1"/>
    </xf>
    <xf numFmtId="0" fontId="321" fillId="0" borderId="1" xfId="0" applyFont="1" applyBorder="1" applyAlignment="1">
      <alignment horizontal="left" vertical="center" wrapText="1" indent="1"/>
    </xf>
    <xf numFmtId="0" fontId="322" fillId="0" borderId="1" xfId="0" applyFont="1" applyBorder="1" applyAlignment="1">
      <alignment horizontal="left" vertical="center" wrapText="1" indent="1"/>
    </xf>
    <xf numFmtId="0" fontId="323" fillId="0" borderId="1" xfId="0" applyFont="1" applyBorder="1" applyAlignment="1">
      <alignment horizontal="left" vertical="center" wrapText="1" indent="1"/>
    </xf>
    <xf numFmtId="0" fontId="324" fillId="0" borderId="1" xfId="0" applyFont="1" applyBorder="1" applyAlignment="1">
      <alignment horizontal="left" vertical="center" wrapText="1" indent="1"/>
    </xf>
    <xf numFmtId="0" fontId="325" fillId="0" borderId="1" xfId="0" applyFont="1" applyBorder="1" applyAlignment="1">
      <alignment horizontal="left" vertical="center" wrapText="1" indent="1"/>
    </xf>
    <xf numFmtId="0" fontId="326" fillId="0" borderId="1" xfId="0" applyFont="1" applyBorder="1" applyAlignment="1">
      <alignment horizontal="left" vertical="center" wrapText="1" indent="1"/>
    </xf>
    <xf numFmtId="0" fontId="327" fillId="0" borderId="1" xfId="0" applyFont="1" applyBorder="1" applyAlignment="1">
      <alignment horizontal="left" vertical="center" wrapText="1" indent="1"/>
    </xf>
    <xf numFmtId="0" fontId="328" fillId="0" borderId="1" xfId="0" applyFont="1" applyBorder="1" applyAlignment="1">
      <alignment horizontal="left" vertical="center" wrapText="1" indent="1"/>
    </xf>
    <xf numFmtId="0" fontId="329" fillId="0" borderId="1" xfId="0" applyFont="1" applyBorder="1" applyAlignment="1">
      <alignment horizontal="left" vertical="center" wrapText="1" indent="1"/>
    </xf>
    <xf numFmtId="0" fontId="330" fillId="0" borderId="1" xfId="0" applyFont="1" applyBorder="1" applyAlignment="1">
      <alignment horizontal="left" vertical="center" wrapText="1" indent="1"/>
    </xf>
    <xf numFmtId="0" fontId="331" fillId="0" borderId="1" xfId="0" applyFont="1" applyBorder="1" applyAlignment="1">
      <alignment horizontal="left" vertical="center" wrapText="1" indent="1"/>
    </xf>
    <xf numFmtId="0" fontId="332" fillId="0" borderId="1" xfId="0" applyFont="1" applyBorder="1" applyAlignment="1">
      <alignment horizontal="left" vertical="center" wrapText="1" indent="1"/>
    </xf>
    <xf numFmtId="0" fontId="333" fillId="0" borderId="1" xfId="0" applyFont="1" applyBorder="1" applyAlignment="1">
      <alignment horizontal="left" vertical="center" wrapText="1" indent="1"/>
    </xf>
    <xf numFmtId="0" fontId="334" fillId="0" borderId="1" xfId="0" applyFont="1" applyBorder="1" applyAlignment="1">
      <alignment horizontal="left" vertical="center" wrapText="1" indent="1"/>
    </xf>
    <xf numFmtId="0" fontId="335" fillId="0" borderId="1" xfId="0" applyFont="1" applyBorder="1" applyAlignment="1">
      <alignment horizontal="left" vertical="center" wrapText="1" indent="1"/>
    </xf>
    <xf numFmtId="0" fontId="336" fillId="0" borderId="1" xfId="0" applyFont="1" applyBorder="1" applyAlignment="1">
      <alignment horizontal="left" vertical="center" wrapText="1" indent="1"/>
    </xf>
    <xf numFmtId="0" fontId="337" fillId="0" borderId="1" xfId="0" applyFont="1" applyBorder="1" applyAlignment="1">
      <alignment horizontal="left" vertical="center" wrapText="1" indent="1"/>
    </xf>
    <xf numFmtId="0" fontId="338" fillId="0" borderId="1" xfId="0" applyFont="1" applyBorder="1" applyAlignment="1">
      <alignment horizontal="left" vertical="center" wrapText="1" indent="1"/>
    </xf>
    <xf numFmtId="0" fontId="339" fillId="0" borderId="1" xfId="0" applyFont="1" applyBorder="1" applyAlignment="1">
      <alignment horizontal="left" vertical="center" wrapText="1" indent="1"/>
    </xf>
    <xf numFmtId="0" fontId="340" fillId="0" borderId="1" xfId="0" applyFont="1" applyBorder="1" applyAlignment="1">
      <alignment horizontal="left" vertical="center" wrapText="1" indent="1"/>
    </xf>
    <xf numFmtId="0" fontId="341" fillId="0" borderId="1" xfId="0" applyFont="1" applyBorder="1" applyAlignment="1">
      <alignment horizontal="left" vertical="center" wrapText="1" indent="1"/>
    </xf>
    <xf numFmtId="0" fontId="342" fillId="0" borderId="1" xfId="0" applyFont="1" applyBorder="1" applyAlignment="1">
      <alignment horizontal="left" vertical="center" wrapText="1" indent="1"/>
    </xf>
    <xf numFmtId="0" fontId="343" fillId="0" borderId="1" xfId="0" applyFont="1" applyBorder="1" applyAlignment="1">
      <alignment horizontal="left" vertical="center" wrapText="1" indent="1"/>
    </xf>
    <xf numFmtId="0" fontId="344" fillId="0" borderId="1" xfId="0" applyFont="1" applyBorder="1" applyAlignment="1">
      <alignment horizontal="left" vertical="center" wrapText="1" indent="1"/>
    </xf>
    <xf numFmtId="0" fontId="345" fillId="0" borderId="1" xfId="0" applyFont="1" applyBorder="1" applyAlignment="1">
      <alignment horizontal="left" vertical="center" wrapText="1" indent="1"/>
    </xf>
    <xf numFmtId="0" fontId="346" fillId="0" borderId="1" xfId="0" applyFont="1" applyBorder="1" applyAlignment="1">
      <alignment horizontal="left" vertical="center" wrapText="1" indent="1"/>
    </xf>
    <xf numFmtId="0" fontId="347" fillId="0" borderId="1" xfId="0" applyFont="1" applyBorder="1" applyAlignment="1">
      <alignment horizontal="left" vertical="center" wrapText="1" indent="1"/>
    </xf>
    <xf numFmtId="0" fontId="348" fillId="0" borderId="1" xfId="0" applyFont="1" applyBorder="1" applyAlignment="1">
      <alignment horizontal="left" vertical="center" wrapText="1" indent="1"/>
    </xf>
    <xf numFmtId="0" fontId="349" fillId="0" borderId="1" xfId="0" applyFont="1" applyBorder="1" applyAlignment="1">
      <alignment horizontal="left" vertical="center" wrapText="1" indent="1"/>
    </xf>
    <xf numFmtId="0" fontId="350" fillId="0" borderId="1" xfId="0" applyFont="1" applyBorder="1" applyAlignment="1">
      <alignment horizontal="left" vertical="center" wrapText="1" indent="1"/>
    </xf>
    <xf numFmtId="0" fontId="351" fillId="0" borderId="1" xfId="0" applyFont="1" applyBorder="1" applyAlignment="1">
      <alignment horizontal="left" vertical="center" wrapText="1" indent="1"/>
    </xf>
    <xf numFmtId="0" fontId="352" fillId="0" borderId="1" xfId="0" applyFont="1" applyBorder="1" applyAlignment="1">
      <alignment horizontal="left" vertical="center" wrapText="1" indent="1"/>
    </xf>
    <xf numFmtId="0" fontId="353" fillId="0" borderId="1" xfId="0" applyFont="1" applyBorder="1" applyAlignment="1">
      <alignment horizontal="left" vertical="center" wrapText="1" indent="1"/>
    </xf>
    <xf numFmtId="0" fontId="354" fillId="0" borderId="1" xfId="0" applyFont="1" applyBorder="1" applyAlignment="1">
      <alignment horizontal="left" vertical="center" wrapText="1" indent="1"/>
    </xf>
    <xf numFmtId="0" fontId="355" fillId="0" borderId="1" xfId="0" applyFont="1" applyBorder="1" applyAlignment="1">
      <alignment horizontal="left" vertical="center" wrapText="1" indent="1"/>
    </xf>
    <xf numFmtId="0" fontId="356" fillId="0" borderId="1" xfId="0" applyFont="1" applyBorder="1" applyAlignment="1">
      <alignment horizontal="left" vertical="center" wrapText="1" indent="1"/>
    </xf>
    <xf numFmtId="0" fontId="357" fillId="0" borderId="1" xfId="0" applyFont="1" applyBorder="1" applyAlignment="1">
      <alignment horizontal="left" vertical="center" wrapText="1" indent="1"/>
    </xf>
    <xf numFmtId="0" fontId="358" fillId="0" borderId="1" xfId="0" applyFont="1" applyBorder="1" applyAlignment="1">
      <alignment horizontal="left" vertical="center" wrapText="1" indent="1"/>
    </xf>
    <xf numFmtId="0" fontId="359" fillId="0" borderId="1" xfId="0" applyFont="1" applyBorder="1" applyAlignment="1">
      <alignment horizontal="left" vertical="center" wrapText="1" indent="1"/>
    </xf>
    <xf numFmtId="0" fontId="360" fillId="0" borderId="1" xfId="0" applyFont="1" applyBorder="1" applyAlignment="1">
      <alignment horizontal="left" vertical="center" wrapText="1" indent="1"/>
    </xf>
    <xf numFmtId="0" fontId="361" fillId="0" borderId="1" xfId="0" applyFont="1" applyBorder="1" applyAlignment="1">
      <alignment horizontal="left" vertical="center" wrapText="1" indent="1"/>
    </xf>
    <xf numFmtId="0" fontId="362" fillId="0" borderId="1" xfId="0" applyFont="1" applyBorder="1" applyAlignment="1">
      <alignment horizontal="left" vertical="center" wrapText="1" indent="1"/>
    </xf>
    <xf numFmtId="0" fontId="363" fillId="0" borderId="1" xfId="0" applyFont="1" applyBorder="1" applyAlignment="1">
      <alignment horizontal="left" vertical="center" wrapText="1" indent="1"/>
    </xf>
    <xf numFmtId="0" fontId="364" fillId="0" borderId="1" xfId="0" applyFont="1" applyBorder="1" applyAlignment="1">
      <alignment horizontal="left" vertical="center" wrapText="1" indent="1"/>
    </xf>
    <xf numFmtId="0" fontId="365" fillId="0" borderId="1" xfId="0" applyFont="1" applyBorder="1" applyAlignment="1">
      <alignment horizontal="left" vertical="center" wrapText="1" indent="1"/>
    </xf>
    <xf numFmtId="0" fontId="366" fillId="0" borderId="1" xfId="0" applyFont="1" applyBorder="1" applyAlignment="1">
      <alignment horizontal="left" vertical="center" wrapText="1" indent="1"/>
    </xf>
    <xf numFmtId="0" fontId="367" fillId="0" borderId="1" xfId="0" applyFont="1" applyBorder="1" applyAlignment="1">
      <alignment horizontal="left" vertical="center" wrapText="1" indent="1"/>
    </xf>
    <xf numFmtId="0" fontId="368" fillId="0" borderId="1" xfId="0" applyFont="1" applyBorder="1" applyAlignment="1">
      <alignment horizontal="left" vertical="center" wrapText="1" indent="1"/>
    </xf>
    <xf numFmtId="0" fontId="369" fillId="0" borderId="1" xfId="0" applyFont="1" applyBorder="1" applyAlignment="1">
      <alignment horizontal="left" vertical="center" wrapText="1" indent="1"/>
    </xf>
    <xf numFmtId="0" fontId="370" fillId="0" borderId="1" xfId="0" applyFont="1" applyBorder="1" applyAlignment="1">
      <alignment horizontal="left" vertical="center" wrapText="1" indent="1"/>
    </xf>
    <xf numFmtId="0" fontId="371" fillId="0" borderId="1" xfId="0" applyFont="1" applyBorder="1" applyAlignment="1">
      <alignment horizontal="left" vertical="center" wrapText="1" indent="1"/>
    </xf>
    <xf numFmtId="0" fontId="372" fillId="0" borderId="1" xfId="0" applyFont="1" applyBorder="1" applyAlignment="1">
      <alignment horizontal="left" vertical="center" wrapText="1" indent="1"/>
    </xf>
    <xf numFmtId="0" fontId="373" fillId="0" borderId="1" xfId="0" applyFont="1" applyBorder="1" applyAlignment="1">
      <alignment horizontal="left" vertical="center" wrapText="1" indent="1"/>
    </xf>
    <xf numFmtId="0" fontId="374" fillId="0" borderId="1" xfId="0" applyFont="1" applyBorder="1" applyAlignment="1">
      <alignment horizontal="left" vertical="center" wrapText="1" indent="1"/>
    </xf>
    <xf numFmtId="0" fontId="375" fillId="0" borderId="1" xfId="0" applyFont="1" applyBorder="1" applyAlignment="1">
      <alignment horizontal="left" vertical="center" wrapText="1" indent="1"/>
    </xf>
    <xf numFmtId="0" fontId="376" fillId="0" borderId="1" xfId="0" applyFont="1" applyBorder="1" applyAlignment="1">
      <alignment horizontal="left" vertical="center" wrapText="1" indent="1"/>
    </xf>
    <xf numFmtId="0" fontId="377" fillId="0" borderId="1" xfId="0" applyFont="1" applyBorder="1" applyAlignment="1">
      <alignment horizontal="left" vertical="center" wrapText="1" indent="1"/>
    </xf>
    <xf numFmtId="0" fontId="378" fillId="0" borderId="1" xfId="0" applyFont="1" applyBorder="1" applyAlignment="1">
      <alignment horizontal="left" vertical="center" wrapText="1" indent="1"/>
    </xf>
    <xf numFmtId="0" fontId="379" fillId="0" borderId="1" xfId="0" applyFont="1" applyBorder="1" applyAlignment="1">
      <alignment horizontal="left" vertical="center" wrapText="1" indent="1"/>
    </xf>
    <xf numFmtId="0" fontId="380" fillId="0" borderId="1" xfId="0" applyFont="1" applyBorder="1" applyAlignment="1">
      <alignment horizontal="left" vertical="center" wrapText="1" indent="1"/>
    </xf>
    <xf numFmtId="0" fontId="381" fillId="0" borderId="1" xfId="0" applyFont="1" applyBorder="1" applyAlignment="1">
      <alignment horizontal="left" vertical="center" wrapText="1" indent="1"/>
    </xf>
    <xf numFmtId="0" fontId="382" fillId="0" borderId="1" xfId="0" applyFont="1" applyBorder="1" applyAlignment="1">
      <alignment horizontal="left" vertical="center" wrapText="1" indent="1"/>
    </xf>
    <xf numFmtId="0" fontId="383" fillId="0" borderId="1" xfId="0" applyFont="1" applyBorder="1" applyAlignment="1">
      <alignment horizontal="left" vertical="center" wrapText="1" indent="1"/>
    </xf>
    <xf numFmtId="0" fontId="384" fillId="0" borderId="1" xfId="0" applyFont="1" applyBorder="1" applyAlignment="1">
      <alignment horizontal="left" vertical="center" wrapText="1" indent="1"/>
    </xf>
    <xf numFmtId="0" fontId="385" fillId="0" borderId="1" xfId="0" applyFont="1" applyBorder="1" applyAlignment="1">
      <alignment horizontal="left" vertical="center" wrapText="1" indent="1"/>
    </xf>
    <xf numFmtId="0" fontId="386" fillId="0" borderId="1" xfId="0" applyFont="1" applyBorder="1" applyAlignment="1">
      <alignment horizontal="left" vertical="center" wrapText="1" indent="1"/>
    </xf>
    <xf numFmtId="0" fontId="387" fillId="0" borderId="1" xfId="0" applyFont="1" applyBorder="1" applyAlignment="1">
      <alignment horizontal="left" vertical="center" wrapText="1" indent="1"/>
    </xf>
    <xf numFmtId="0" fontId="388" fillId="0" borderId="1" xfId="0" applyFont="1" applyBorder="1" applyAlignment="1">
      <alignment horizontal="left" vertical="center" wrapText="1" indent="1"/>
    </xf>
    <xf numFmtId="0" fontId="389" fillId="0" borderId="1" xfId="0" applyFont="1" applyBorder="1" applyAlignment="1">
      <alignment horizontal="left" vertical="center" wrapText="1" indent="1"/>
    </xf>
    <xf numFmtId="0" fontId="390" fillId="0" borderId="1" xfId="0" applyFont="1" applyBorder="1" applyAlignment="1">
      <alignment horizontal="left" vertical="center" wrapText="1" indent="1"/>
    </xf>
    <xf numFmtId="0" fontId="391" fillId="0" borderId="1" xfId="0" applyFont="1" applyBorder="1" applyAlignment="1">
      <alignment horizontal="left" vertical="center" wrapText="1" indent="1"/>
    </xf>
    <xf numFmtId="0" fontId="392" fillId="0" borderId="1" xfId="0" applyFont="1" applyBorder="1" applyAlignment="1">
      <alignment horizontal="left" vertical="center" wrapText="1" indent="1"/>
    </xf>
    <xf numFmtId="0" fontId="393" fillId="0" borderId="1" xfId="0" applyFont="1" applyBorder="1" applyAlignment="1">
      <alignment horizontal="left" vertical="center" wrapText="1" indent="1"/>
    </xf>
    <xf numFmtId="0" fontId="394" fillId="0" borderId="1" xfId="0" applyFont="1" applyBorder="1" applyAlignment="1">
      <alignment horizontal="left" vertical="center" wrapText="1" indent="1"/>
    </xf>
    <xf numFmtId="0" fontId="395" fillId="0" borderId="1" xfId="0" applyFont="1" applyBorder="1" applyAlignment="1">
      <alignment horizontal="left" vertical="center" wrapText="1" indent="1"/>
    </xf>
    <xf numFmtId="0" fontId="396" fillId="0" borderId="1" xfId="0" applyFont="1" applyBorder="1" applyAlignment="1">
      <alignment horizontal="left" vertical="center" wrapText="1" indent="1"/>
    </xf>
    <xf numFmtId="0" fontId="397" fillId="0" borderId="1" xfId="0" applyFont="1" applyBorder="1" applyAlignment="1">
      <alignment horizontal="left" vertical="center" wrapText="1" indent="1"/>
    </xf>
    <xf numFmtId="0" fontId="398" fillId="0" borderId="1" xfId="0" applyFont="1" applyBorder="1" applyAlignment="1">
      <alignment horizontal="left" vertical="center" wrapText="1" indent="1"/>
    </xf>
    <xf numFmtId="0" fontId="399" fillId="0" borderId="1" xfId="0" applyFont="1" applyBorder="1" applyAlignment="1">
      <alignment horizontal="left" vertical="center" wrapText="1" indent="1"/>
    </xf>
    <xf numFmtId="0" fontId="400" fillId="0" borderId="1" xfId="0" applyFont="1" applyBorder="1" applyAlignment="1">
      <alignment horizontal="left" vertical="center" wrapText="1" indent="1"/>
    </xf>
    <xf numFmtId="0" fontId="401" fillId="0" borderId="1" xfId="0" applyFont="1" applyBorder="1" applyAlignment="1">
      <alignment horizontal="left" vertical="center" wrapText="1" indent="1"/>
    </xf>
    <xf numFmtId="0" fontId="402" fillId="0" borderId="1" xfId="0" applyFont="1" applyBorder="1" applyAlignment="1">
      <alignment horizontal="left" vertical="center" wrapText="1" indent="1"/>
    </xf>
    <xf numFmtId="0" fontId="403" fillId="0" borderId="1" xfId="0" applyFont="1" applyBorder="1" applyAlignment="1">
      <alignment horizontal="left" vertical="center" wrapText="1" indent="1"/>
    </xf>
    <xf numFmtId="0" fontId="404" fillId="0" borderId="1" xfId="0" applyFont="1" applyBorder="1" applyAlignment="1">
      <alignment horizontal="left" vertical="center" wrapText="1" indent="1"/>
    </xf>
    <xf numFmtId="0" fontId="405" fillId="0" borderId="1" xfId="0" applyFont="1" applyBorder="1" applyAlignment="1">
      <alignment horizontal="left" vertical="center" wrapText="1" indent="1"/>
    </xf>
    <xf numFmtId="0" fontId="406" fillId="0" borderId="1" xfId="0" applyFont="1" applyBorder="1" applyAlignment="1">
      <alignment horizontal="left" vertical="center" wrapText="1" indent="1"/>
    </xf>
    <xf numFmtId="0" fontId="407" fillId="0" borderId="1" xfId="0" applyFont="1" applyBorder="1" applyAlignment="1">
      <alignment horizontal="left" vertical="center" wrapText="1" indent="1"/>
    </xf>
    <xf numFmtId="0" fontId="408" fillId="0" borderId="1" xfId="0" applyFont="1" applyBorder="1" applyAlignment="1">
      <alignment horizontal="left" vertical="center" wrapText="1" indent="1"/>
    </xf>
    <xf numFmtId="0" fontId="409" fillId="0" borderId="1" xfId="0" applyFont="1" applyBorder="1" applyAlignment="1">
      <alignment horizontal="left" vertical="center" wrapText="1" indent="1"/>
    </xf>
    <xf numFmtId="0" fontId="410" fillId="0" borderId="1" xfId="0" applyFont="1" applyBorder="1" applyAlignment="1">
      <alignment horizontal="left" vertical="center" wrapText="1" indent="1"/>
    </xf>
    <xf numFmtId="0" fontId="411" fillId="0" borderId="1" xfId="0" applyFont="1" applyBorder="1" applyAlignment="1">
      <alignment horizontal="left" vertical="center" wrapText="1" indent="1"/>
    </xf>
    <xf numFmtId="0" fontId="412" fillId="0" borderId="1" xfId="0" applyFont="1" applyBorder="1" applyAlignment="1">
      <alignment horizontal="left" vertical="center" wrapText="1" indent="1"/>
    </xf>
    <xf numFmtId="0" fontId="413" fillId="0" borderId="1" xfId="0" applyFont="1" applyBorder="1" applyAlignment="1">
      <alignment horizontal="left" vertical="center" wrapText="1" indent="1"/>
    </xf>
    <xf numFmtId="0" fontId="414" fillId="0" borderId="1" xfId="0" applyFont="1" applyBorder="1" applyAlignment="1">
      <alignment horizontal="left" vertical="center" wrapText="1" indent="1"/>
    </xf>
    <xf numFmtId="0" fontId="415" fillId="0" borderId="1" xfId="0" applyFont="1" applyBorder="1" applyAlignment="1">
      <alignment horizontal="left" vertical="center" wrapText="1" indent="1"/>
    </xf>
    <xf numFmtId="0" fontId="416" fillId="0" borderId="1" xfId="0" applyFont="1" applyBorder="1" applyAlignment="1">
      <alignment horizontal="left" vertical="center" wrapText="1" indent="1"/>
    </xf>
    <xf numFmtId="0" fontId="417" fillId="0" borderId="1" xfId="0" applyFont="1" applyBorder="1" applyAlignment="1">
      <alignment horizontal="left" vertical="center" wrapText="1" indent="1"/>
    </xf>
    <xf numFmtId="0" fontId="418" fillId="0" borderId="1" xfId="0" applyFont="1" applyBorder="1" applyAlignment="1">
      <alignment horizontal="left" vertical="center" wrapText="1" indent="1"/>
    </xf>
    <xf numFmtId="0" fontId="419" fillId="0" borderId="1" xfId="0" applyFont="1" applyBorder="1" applyAlignment="1">
      <alignment horizontal="left" vertical="center" wrapText="1" indent="1"/>
    </xf>
    <xf numFmtId="0" fontId="420" fillId="0" borderId="1" xfId="0" applyFont="1" applyBorder="1" applyAlignment="1">
      <alignment horizontal="left" vertical="center" wrapText="1" indent="1"/>
    </xf>
    <xf numFmtId="0" fontId="421" fillId="0" borderId="1" xfId="0" applyFont="1" applyBorder="1" applyAlignment="1">
      <alignment horizontal="left" vertical="center" wrapText="1" indent="1"/>
    </xf>
    <xf numFmtId="0" fontId="422" fillId="0" borderId="1" xfId="0" applyFont="1" applyBorder="1" applyAlignment="1">
      <alignment horizontal="left" vertical="center" wrapText="1" indent="1"/>
    </xf>
    <xf numFmtId="0" fontId="423" fillId="0" borderId="1" xfId="0" applyFont="1" applyBorder="1" applyAlignment="1">
      <alignment horizontal="left" vertical="center" wrapText="1" indent="1"/>
    </xf>
    <xf numFmtId="0" fontId="424" fillId="0" borderId="1" xfId="0" applyFont="1" applyBorder="1" applyAlignment="1">
      <alignment horizontal="left" vertical="center" wrapText="1" indent="1"/>
    </xf>
    <xf numFmtId="0" fontId="425" fillId="0" borderId="1" xfId="0" applyFont="1" applyBorder="1" applyAlignment="1">
      <alignment horizontal="left" vertical="center" wrapText="1" indent="1"/>
    </xf>
    <xf numFmtId="0" fontId="426" fillId="0" borderId="1" xfId="0" applyFont="1" applyBorder="1" applyAlignment="1">
      <alignment horizontal="left" vertical="center" wrapText="1" indent="1"/>
    </xf>
    <xf numFmtId="0" fontId="427" fillId="0" borderId="1" xfId="0" applyFont="1" applyBorder="1" applyAlignment="1">
      <alignment horizontal="left" vertical="center" wrapText="1" indent="1"/>
    </xf>
    <xf numFmtId="0" fontId="428" fillId="0" borderId="1" xfId="0" applyFont="1" applyBorder="1" applyAlignment="1">
      <alignment horizontal="left" vertical="center" wrapText="1" indent="1"/>
    </xf>
    <xf numFmtId="0" fontId="429" fillId="0" borderId="1" xfId="0" applyFont="1" applyBorder="1" applyAlignment="1">
      <alignment horizontal="left" vertical="center" wrapText="1" indent="1"/>
    </xf>
    <xf numFmtId="0" fontId="430" fillId="0" borderId="1" xfId="0" applyFont="1" applyBorder="1" applyAlignment="1">
      <alignment horizontal="left" vertical="center" wrapText="1" indent="1"/>
    </xf>
    <xf numFmtId="0" fontId="431" fillId="0" borderId="1" xfId="0" applyFont="1" applyBorder="1" applyAlignment="1">
      <alignment horizontal="left" vertical="center" wrapText="1" indent="1"/>
    </xf>
    <xf numFmtId="0" fontId="432" fillId="0" borderId="1" xfId="0" applyFont="1" applyBorder="1" applyAlignment="1">
      <alignment horizontal="left" vertical="center" wrapText="1" indent="1"/>
    </xf>
    <xf numFmtId="0" fontId="433" fillId="0" borderId="1" xfId="0" applyFont="1" applyBorder="1" applyAlignment="1">
      <alignment horizontal="left" vertical="center" wrapText="1" indent="1"/>
    </xf>
    <xf numFmtId="0" fontId="434" fillId="0" borderId="1" xfId="0" applyFont="1" applyBorder="1" applyAlignment="1">
      <alignment horizontal="left" vertical="center" wrapText="1" indent="1"/>
    </xf>
    <xf numFmtId="0" fontId="435" fillId="0" borderId="1" xfId="0" applyFont="1" applyBorder="1" applyAlignment="1">
      <alignment horizontal="left" vertical="center" wrapText="1" indent="1"/>
    </xf>
    <xf numFmtId="0" fontId="436" fillId="0" borderId="1" xfId="0" applyFont="1" applyBorder="1" applyAlignment="1">
      <alignment horizontal="left" vertical="center" wrapText="1" indent="1"/>
    </xf>
    <xf numFmtId="0" fontId="437" fillId="0" borderId="1" xfId="0" applyFont="1" applyBorder="1" applyAlignment="1">
      <alignment horizontal="left" vertical="center" wrapText="1" indent="1"/>
    </xf>
    <xf numFmtId="0" fontId="438" fillId="0" borderId="1" xfId="0" applyFont="1" applyBorder="1" applyAlignment="1">
      <alignment horizontal="left" vertical="center" wrapText="1" indent="1"/>
    </xf>
    <xf numFmtId="0" fontId="439" fillId="0" borderId="1" xfId="0" applyFont="1" applyBorder="1" applyAlignment="1">
      <alignment horizontal="left" vertical="center" wrapText="1" indent="1"/>
    </xf>
    <xf numFmtId="0" fontId="440" fillId="0" borderId="1" xfId="0" applyFont="1" applyBorder="1" applyAlignment="1">
      <alignment horizontal="left" vertical="center" wrapText="1" indent="1"/>
    </xf>
    <xf numFmtId="0" fontId="441" fillId="0" borderId="1" xfId="0" applyFont="1" applyBorder="1" applyAlignment="1">
      <alignment horizontal="left" vertical="center" wrapText="1" indent="1"/>
    </xf>
    <xf numFmtId="0" fontId="442" fillId="0" borderId="1" xfId="0" applyFont="1" applyBorder="1" applyAlignment="1">
      <alignment horizontal="left" vertical="center" wrapText="1" indent="1"/>
    </xf>
    <xf numFmtId="0" fontId="443" fillId="0" borderId="1" xfId="0" applyFont="1" applyBorder="1" applyAlignment="1">
      <alignment horizontal="left" vertical="center" wrapText="1" indent="1"/>
    </xf>
    <xf numFmtId="0" fontId="444" fillId="0" borderId="1" xfId="0" applyFont="1" applyBorder="1" applyAlignment="1">
      <alignment horizontal="left" vertical="center" wrapText="1" indent="1"/>
    </xf>
    <xf numFmtId="0" fontId="445" fillId="0" borderId="1" xfId="0" applyFont="1" applyBorder="1" applyAlignment="1">
      <alignment horizontal="left" vertical="center" wrapText="1" indent="1"/>
    </xf>
    <xf numFmtId="0" fontId="446" fillId="0" borderId="1" xfId="0" applyFont="1" applyBorder="1" applyAlignment="1">
      <alignment horizontal="left" vertical="center" wrapText="1" indent="1"/>
    </xf>
    <xf numFmtId="0" fontId="447" fillId="0" borderId="1" xfId="0" applyFont="1" applyBorder="1" applyAlignment="1">
      <alignment horizontal="left" vertical="center" wrapText="1" indent="1"/>
    </xf>
    <xf numFmtId="0" fontId="448" fillId="0" borderId="1" xfId="0" applyFont="1" applyBorder="1" applyAlignment="1">
      <alignment horizontal="left" vertical="center" wrapText="1" indent="1"/>
    </xf>
    <xf numFmtId="0" fontId="449" fillId="0" borderId="1" xfId="0" applyFont="1" applyBorder="1" applyAlignment="1">
      <alignment horizontal="left" vertical="center" wrapText="1" indent="1"/>
    </xf>
    <xf numFmtId="0" fontId="450" fillId="0" borderId="1" xfId="0" applyFont="1" applyBorder="1" applyAlignment="1">
      <alignment horizontal="left" vertical="center" wrapText="1" indent="1"/>
    </xf>
    <xf numFmtId="0" fontId="451" fillId="0" borderId="1" xfId="0" applyFont="1" applyBorder="1" applyAlignment="1">
      <alignment horizontal="left" vertical="center" wrapText="1" indent="1"/>
    </xf>
    <xf numFmtId="0" fontId="452" fillId="0" borderId="1" xfId="0" applyFont="1" applyBorder="1" applyAlignment="1">
      <alignment horizontal="left" vertical="center" wrapText="1" indent="1"/>
    </xf>
    <xf numFmtId="0" fontId="453" fillId="0" borderId="1" xfId="0" applyFont="1" applyBorder="1" applyAlignment="1">
      <alignment horizontal="left" vertical="center" wrapText="1" indent="1"/>
    </xf>
    <xf numFmtId="0" fontId="454" fillId="0" borderId="1" xfId="0" applyFont="1" applyBorder="1" applyAlignment="1">
      <alignment horizontal="left" vertical="center" wrapText="1" indent="1"/>
    </xf>
    <xf numFmtId="0" fontId="455" fillId="0" borderId="1" xfId="0" applyFont="1" applyBorder="1" applyAlignment="1">
      <alignment horizontal="left" vertical="center" wrapText="1" indent="1"/>
    </xf>
    <xf numFmtId="0" fontId="456" fillId="0" borderId="1" xfId="0" applyFont="1" applyBorder="1" applyAlignment="1">
      <alignment horizontal="left" vertical="center" wrapText="1" indent="1"/>
    </xf>
    <xf numFmtId="0" fontId="457" fillId="0" borderId="1" xfId="0" applyFont="1" applyBorder="1" applyAlignment="1">
      <alignment horizontal="left" vertical="center" wrapText="1" indent="1"/>
    </xf>
    <xf numFmtId="0" fontId="458" fillId="0" borderId="1" xfId="0" applyFont="1" applyBorder="1" applyAlignment="1">
      <alignment horizontal="left" vertical="center" wrapText="1" indent="1"/>
    </xf>
    <xf numFmtId="0" fontId="459" fillId="0" borderId="1" xfId="0" applyFont="1" applyBorder="1" applyAlignment="1">
      <alignment horizontal="left" vertical="center" wrapText="1" indent="1"/>
    </xf>
    <xf numFmtId="0" fontId="460" fillId="0" borderId="1" xfId="0" applyFont="1" applyBorder="1" applyAlignment="1">
      <alignment horizontal="left" vertical="center" wrapText="1" indent="1"/>
    </xf>
    <xf numFmtId="0" fontId="461" fillId="0" borderId="1" xfId="0" applyFont="1" applyBorder="1" applyAlignment="1">
      <alignment horizontal="left" vertical="center" wrapText="1" indent="1"/>
    </xf>
    <xf numFmtId="0" fontId="462" fillId="0" borderId="1" xfId="0" applyFont="1" applyBorder="1" applyAlignment="1">
      <alignment horizontal="left" vertical="center" wrapText="1" indent="1"/>
    </xf>
    <xf numFmtId="0" fontId="463" fillId="0" borderId="1" xfId="0" applyFont="1" applyBorder="1" applyAlignment="1">
      <alignment horizontal="left" vertical="center" wrapText="1" indent="1"/>
    </xf>
    <xf numFmtId="0" fontId="464" fillId="0" borderId="1" xfId="0" applyFont="1" applyBorder="1" applyAlignment="1">
      <alignment horizontal="left" vertical="center" wrapText="1" indent="1"/>
    </xf>
    <xf numFmtId="0" fontId="465" fillId="0" borderId="1" xfId="0" applyFont="1" applyBorder="1" applyAlignment="1">
      <alignment horizontal="left" vertical="center" wrapText="1" indent="1"/>
    </xf>
    <xf numFmtId="0" fontId="466" fillId="0" borderId="1" xfId="0" applyFont="1" applyBorder="1" applyAlignment="1">
      <alignment horizontal="left" vertical="center" wrapText="1" indent="1"/>
    </xf>
    <xf numFmtId="0" fontId="467" fillId="0" borderId="1" xfId="0" applyFont="1" applyBorder="1" applyAlignment="1">
      <alignment horizontal="left" vertical="center" wrapText="1" indent="1"/>
    </xf>
    <xf numFmtId="0" fontId="468" fillId="0" borderId="1" xfId="0" applyFont="1" applyBorder="1" applyAlignment="1">
      <alignment horizontal="left" vertical="center" wrapText="1" indent="1"/>
    </xf>
    <xf numFmtId="0" fontId="469" fillId="0" borderId="1" xfId="0" applyFont="1" applyBorder="1" applyAlignment="1">
      <alignment horizontal="left" vertical="center" wrapText="1" indent="1"/>
    </xf>
    <xf numFmtId="0" fontId="470" fillId="0" borderId="1" xfId="0" applyFont="1" applyBorder="1" applyAlignment="1">
      <alignment horizontal="left" vertical="center" wrapText="1" indent="1"/>
    </xf>
    <xf numFmtId="0" fontId="471" fillId="0" borderId="1" xfId="0" applyFont="1" applyBorder="1" applyAlignment="1">
      <alignment horizontal="left" vertical="center" wrapText="1" indent="1"/>
    </xf>
    <xf numFmtId="0" fontId="472" fillId="0" borderId="1" xfId="0" applyFont="1" applyBorder="1" applyAlignment="1">
      <alignment horizontal="left" vertical="center" wrapText="1" indent="1"/>
    </xf>
    <xf numFmtId="0" fontId="473" fillId="0" borderId="1" xfId="0" applyFont="1" applyBorder="1" applyAlignment="1">
      <alignment horizontal="left" vertical="center" wrapText="1" indent="1"/>
    </xf>
    <xf numFmtId="0" fontId="474" fillId="0" borderId="1" xfId="0" applyFont="1" applyBorder="1" applyAlignment="1">
      <alignment horizontal="left" vertical="center" wrapText="1" indent="1"/>
    </xf>
    <xf numFmtId="0" fontId="475" fillId="0" borderId="1" xfId="0" applyFont="1" applyBorder="1" applyAlignment="1">
      <alignment horizontal="left" vertical="center" wrapText="1" indent="1"/>
    </xf>
    <xf numFmtId="0" fontId="476" fillId="0" borderId="1" xfId="0" applyFont="1" applyBorder="1" applyAlignment="1">
      <alignment horizontal="left" vertical="center" wrapText="1" indent="1"/>
    </xf>
    <xf numFmtId="0" fontId="477" fillId="0" borderId="1" xfId="0" applyFont="1" applyBorder="1" applyAlignment="1">
      <alignment horizontal="left" vertical="center" wrapText="1" indent="1"/>
    </xf>
    <xf numFmtId="0" fontId="478" fillId="0" borderId="1" xfId="0" applyFont="1" applyBorder="1" applyAlignment="1">
      <alignment horizontal="left" vertical="center" wrapText="1" indent="1"/>
    </xf>
    <xf numFmtId="0" fontId="479" fillId="0" borderId="1" xfId="0" applyFont="1" applyBorder="1" applyAlignment="1">
      <alignment horizontal="left" vertical="center" wrapText="1" indent="1"/>
    </xf>
    <xf numFmtId="0" fontId="480" fillId="0" borderId="1" xfId="0" applyFont="1" applyBorder="1" applyAlignment="1">
      <alignment horizontal="left" vertical="center" wrapText="1" indent="1"/>
    </xf>
    <xf numFmtId="0" fontId="481" fillId="0" borderId="1" xfId="0" applyFont="1" applyBorder="1" applyAlignment="1">
      <alignment horizontal="left" vertical="center" wrapText="1" indent="1"/>
    </xf>
    <xf numFmtId="0" fontId="482" fillId="0" borderId="1" xfId="0" applyFont="1" applyBorder="1" applyAlignment="1">
      <alignment horizontal="left" vertical="center" wrapText="1" indent="1"/>
    </xf>
    <xf numFmtId="0" fontId="483" fillId="0" borderId="1" xfId="0" applyFont="1" applyBorder="1" applyAlignment="1">
      <alignment horizontal="left" vertical="center" wrapText="1" indent="1"/>
    </xf>
    <xf numFmtId="0" fontId="484" fillId="0" borderId="1" xfId="0" applyFont="1" applyBorder="1" applyAlignment="1">
      <alignment horizontal="left" vertical="center" wrapText="1" indent="1"/>
    </xf>
    <xf numFmtId="0" fontId="485" fillId="0" borderId="1" xfId="0" applyFont="1" applyBorder="1" applyAlignment="1">
      <alignment horizontal="left" vertical="center" wrapText="1" indent="1"/>
    </xf>
    <xf numFmtId="0" fontId="486" fillId="0" borderId="1" xfId="0" applyFont="1" applyBorder="1" applyAlignment="1">
      <alignment horizontal="left" vertical="center" wrapText="1" indent="1"/>
    </xf>
    <xf numFmtId="0" fontId="487" fillId="0" borderId="1" xfId="0" applyFont="1" applyBorder="1" applyAlignment="1">
      <alignment horizontal="left" vertical="center" wrapText="1" indent="1"/>
    </xf>
    <xf numFmtId="0" fontId="488" fillId="0" borderId="1" xfId="0" applyFont="1" applyBorder="1" applyAlignment="1">
      <alignment horizontal="left" vertical="center" wrapText="1" indent="1"/>
    </xf>
    <xf numFmtId="0" fontId="489" fillId="0" borderId="1" xfId="0" applyFont="1" applyBorder="1" applyAlignment="1">
      <alignment horizontal="left" vertical="center" wrapText="1" indent="1"/>
    </xf>
    <xf numFmtId="0" fontId="490" fillId="0" borderId="1" xfId="0" applyFont="1" applyBorder="1" applyAlignment="1">
      <alignment horizontal="left" vertical="center" wrapText="1" indent="1"/>
    </xf>
    <xf numFmtId="0" fontId="491" fillId="0" borderId="1" xfId="0" applyFont="1" applyBorder="1" applyAlignment="1">
      <alignment horizontal="left" vertical="center" wrapText="1" indent="1"/>
    </xf>
    <xf numFmtId="0" fontId="492" fillId="0" borderId="1" xfId="0" applyFont="1" applyBorder="1" applyAlignment="1">
      <alignment horizontal="left" vertical="center" wrapText="1" indent="1"/>
    </xf>
    <xf numFmtId="0" fontId="493" fillId="0" borderId="1" xfId="0" applyFont="1" applyBorder="1" applyAlignment="1">
      <alignment horizontal="left" vertical="center" wrapText="1" indent="1"/>
    </xf>
    <xf numFmtId="0" fontId="494" fillId="0" borderId="1" xfId="0" applyFont="1" applyBorder="1" applyAlignment="1">
      <alignment horizontal="left" vertical="center" wrapText="1" indent="1"/>
    </xf>
    <xf numFmtId="0" fontId="495" fillId="0" borderId="1" xfId="0" applyFont="1" applyBorder="1" applyAlignment="1">
      <alignment horizontal="left" vertical="center" wrapText="1" indent="1"/>
    </xf>
    <xf numFmtId="0" fontId="496" fillId="0" borderId="1" xfId="0" applyFont="1" applyBorder="1" applyAlignment="1">
      <alignment horizontal="left" vertical="center" wrapText="1" indent="1"/>
    </xf>
    <xf numFmtId="0" fontId="497" fillId="0" borderId="1" xfId="0" applyFont="1" applyBorder="1" applyAlignment="1">
      <alignment horizontal="left" vertical="center" wrapText="1" indent="1"/>
    </xf>
    <xf numFmtId="0" fontId="498" fillId="0" borderId="1" xfId="0" applyFont="1" applyBorder="1" applyAlignment="1">
      <alignment horizontal="left" vertical="center" wrapText="1" indent="1"/>
    </xf>
    <xf numFmtId="0" fontId="499" fillId="0" borderId="1" xfId="0" applyFont="1" applyBorder="1" applyAlignment="1">
      <alignment horizontal="left" vertical="center" wrapText="1" indent="1"/>
    </xf>
    <xf numFmtId="0" fontId="500" fillId="0" borderId="1" xfId="0" applyFont="1" applyBorder="1" applyAlignment="1">
      <alignment horizontal="left" vertical="center" wrapText="1" indent="1"/>
    </xf>
    <xf numFmtId="0" fontId="501" fillId="0" borderId="1" xfId="0" applyFont="1" applyBorder="1" applyAlignment="1">
      <alignment horizontal="left" vertical="center" wrapText="1" indent="1"/>
    </xf>
    <xf numFmtId="0" fontId="502" fillId="0" borderId="1" xfId="0" applyFont="1" applyBorder="1" applyAlignment="1">
      <alignment horizontal="left" vertical="center" wrapText="1" indent="1"/>
    </xf>
    <xf numFmtId="0" fontId="503" fillId="0" borderId="1" xfId="0" applyFont="1" applyBorder="1" applyAlignment="1">
      <alignment horizontal="left" vertical="center" wrapText="1" indent="1"/>
    </xf>
    <xf numFmtId="0" fontId="504" fillId="0" borderId="1" xfId="0" applyFont="1" applyBorder="1" applyAlignment="1">
      <alignment horizontal="left" vertical="center" wrapText="1" indent="1"/>
    </xf>
    <xf numFmtId="0" fontId="505" fillId="0" borderId="1" xfId="0" applyFont="1" applyBorder="1" applyAlignment="1">
      <alignment horizontal="left" vertical="center" wrapText="1" indent="1"/>
    </xf>
    <xf numFmtId="0" fontId="506" fillId="0" borderId="1" xfId="0" applyFont="1" applyBorder="1" applyAlignment="1">
      <alignment horizontal="left" vertical="center" wrapText="1" indent="1"/>
    </xf>
    <xf numFmtId="0" fontId="507" fillId="0" borderId="1" xfId="0" applyFont="1" applyBorder="1" applyAlignment="1">
      <alignment horizontal="left" vertical="center" wrapText="1" indent="1"/>
    </xf>
    <xf numFmtId="0" fontId="508" fillId="0" borderId="1" xfId="0" applyFont="1" applyBorder="1" applyAlignment="1">
      <alignment horizontal="left" vertical="center" wrapText="1" indent="1"/>
    </xf>
    <xf numFmtId="0" fontId="509" fillId="0" borderId="1" xfId="0" applyFont="1" applyBorder="1" applyAlignment="1">
      <alignment horizontal="left" vertical="center" wrapText="1" indent="1"/>
    </xf>
    <xf numFmtId="0" fontId="510" fillId="0" borderId="1" xfId="0" applyFont="1" applyBorder="1" applyAlignment="1">
      <alignment horizontal="left" vertical="center" wrapText="1" indent="1"/>
    </xf>
    <xf numFmtId="0" fontId="511" fillId="0" borderId="1" xfId="0" applyFont="1" applyBorder="1" applyAlignment="1">
      <alignment horizontal="left" vertical="center" wrapText="1" indent="1"/>
    </xf>
    <xf numFmtId="0" fontId="512" fillId="0" borderId="1" xfId="0" applyFont="1" applyBorder="1" applyAlignment="1">
      <alignment horizontal="left" vertical="center" wrapText="1" indent="1"/>
    </xf>
    <xf numFmtId="0" fontId="513" fillId="0" borderId="1" xfId="0" applyFont="1" applyBorder="1" applyAlignment="1">
      <alignment horizontal="left" vertical="center" wrapText="1" indent="1"/>
    </xf>
    <xf numFmtId="0" fontId="514" fillId="0" borderId="1" xfId="0" applyFont="1" applyBorder="1" applyAlignment="1">
      <alignment horizontal="left" vertical="center" wrapText="1" indent="1"/>
    </xf>
    <xf numFmtId="0" fontId="515" fillId="0" borderId="1" xfId="0" applyFont="1" applyBorder="1" applyAlignment="1">
      <alignment horizontal="left" vertical="center" wrapText="1" indent="1"/>
    </xf>
    <xf numFmtId="0" fontId="516" fillId="0" borderId="1" xfId="0" applyFont="1" applyBorder="1" applyAlignment="1">
      <alignment horizontal="left" vertical="center" wrapText="1" indent="1"/>
    </xf>
    <xf numFmtId="0" fontId="517" fillId="0" borderId="1" xfId="0" applyFont="1" applyBorder="1" applyAlignment="1">
      <alignment horizontal="left" vertical="center" wrapText="1" indent="1"/>
    </xf>
    <xf numFmtId="0" fontId="518" fillId="0" borderId="1" xfId="0" applyFont="1" applyBorder="1" applyAlignment="1">
      <alignment horizontal="left" vertical="center" wrapText="1" indent="1"/>
    </xf>
    <xf numFmtId="0" fontId="519" fillId="0" borderId="1" xfId="0" applyFont="1" applyBorder="1" applyAlignment="1">
      <alignment horizontal="left" vertical="center" wrapText="1" indent="1"/>
    </xf>
    <xf numFmtId="0" fontId="520" fillId="0" borderId="1" xfId="0" applyFont="1" applyBorder="1" applyAlignment="1">
      <alignment horizontal="left" vertical="center" wrapText="1" indent="1"/>
    </xf>
    <xf numFmtId="0" fontId="521" fillId="0" borderId="1" xfId="0" applyFont="1" applyBorder="1" applyAlignment="1">
      <alignment horizontal="left" vertical="center" wrapText="1" indent="1"/>
    </xf>
    <xf numFmtId="0" fontId="522" fillId="0" borderId="1" xfId="0" applyFont="1" applyBorder="1" applyAlignment="1">
      <alignment horizontal="left" vertical="center" wrapText="1" indent="1"/>
    </xf>
    <xf numFmtId="0" fontId="523" fillId="0" borderId="1" xfId="0" applyFont="1" applyBorder="1" applyAlignment="1">
      <alignment horizontal="left" vertical="center" wrapText="1" indent="1"/>
    </xf>
    <xf numFmtId="0" fontId="524" fillId="0" borderId="1" xfId="0" applyFont="1" applyBorder="1" applyAlignment="1">
      <alignment horizontal="left" vertical="center" wrapText="1" indent="1"/>
    </xf>
    <xf numFmtId="0" fontId="525" fillId="0" borderId="1" xfId="0" applyFont="1" applyBorder="1" applyAlignment="1">
      <alignment horizontal="left" vertical="center" wrapText="1" indent="1"/>
    </xf>
    <xf numFmtId="0" fontId="526" fillId="0" borderId="1" xfId="0" applyFont="1" applyBorder="1" applyAlignment="1">
      <alignment horizontal="left" vertical="center" wrapText="1" indent="1"/>
    </xf>
    <xf numFmtId="0" fontId="527" fillId="0" borderId="1" xfId="0" applyFont="1" applyBorder="1" applyAlignment="1">
      <alignment horizontal="left" vertical="center" wrapText="1" indent="1"/>
    </xf>
    <xf numFmtId="0" fontId="528" fillId="0" borderId="1" xfId="0" applyFont="1" applyBorder="1" applyAlignment="1">
      <alignment horizontal="left" vertical="center" wrapText="1" indent="1"/>
    </xf>
    <xf numFmtId="0" fontId="529" fillId="0" borderId="1" xfId="0" applyFont="1" applyBorder="1" applyAlignment="1">
      <alignment horizontal="left" vertical="center" wrapText="1" indent="1"/>
    </xf>
    <xf numFmtId="0" fontId="530" fillId="0" borderId="1" xfId="0" applyFont="1" applyBorder="1" applyAlignment="1">
      <alignment horizontal="left" vertical="center" wrapText="1" indent="1"/>
    </xf>
    <xf numFmtId="0" fontId="531" fillId="0" borderId="1" xfId="0" applyFont="1" applyBorder="1" applyAlignment="1">
      <alignment horizontal="left" vertical="center" wrapText="1" indent="1"/>
    </xf>
    <xf numFmtId="0" fontId="532" fillId="0" borderId="1" xfId="0" applyFont="1" applyBorder="1" applyAlignment="1">
      <alignment horizontal="left" vertical="center" wrapText="1" indent="1"/>
    </xf>
    <xf numFmtId="0" fontId="533" fillId="0" borderId="1" xfId="0" applyFont="1" applyBorder="1" applyAlignment="1">
      <alignment horizontal="left" vertical="center" wrapText="1" indent="1"/>
    </xf>
    <xf numFmtId="0" fontId="534" fillId="0" borderId="1" xfId="0" applyFont="1" applyBorder="1" applyAlignment="1">
      <alignment horizontal="left" vertical="center" wrapText="1" indent="1"/>
    </xf>
    <xf numFmtId="0" fontId="535" fillId="0" borderId="1" xfId="0" applyFont="1" applyBorder="1" applyAlignment="1">
      <alignment horizontal="left" vertical="center" wrapText="1" indent="1"/>
    </xf>
    <xf numFmtId="0" fontId="536" fillId="0" borderId="1" xfId="0" applyFont="1" applyBorder="1" applyAlignment="1">
      <alignment horizontal="left" vertical="center" wrapText="1" indent="1"/>
    </xf>
    <xf numFmtId="0" fontId="537" fillId="0" borderId="1" xfId="0" applyFont="1" applyBorder="1" applyAlignment="1">
      <alignment horizontal="left" vertical="center" wrapText="1" indent="1"/>
    </xf>
    <xf numFmtId="0" fontId="538" fillId="0" borderId="1" xfId="0" applyFont="1" applyBorder="1" applyAlignment="1">
      <alignment horizontal="left" vertical="center" wrapText="1" indent="1"/>
    </xf>
    <xf numFmtId="0" fontId="539" fillId="0" borderId="1" xfId="0" applyFont="1" applyBorder="1" applyAlignment="1">
      <alignment horizontal="left" vertical="center" wrapText="1" indent="1"/>
    </xf>
    <xf numFmtId="0" fontId="540" fillId="0" borderId="1" xfId="0" applyFont="1" applyBorder="1" applyAlignment="1">
      <alignment horizontal="left" vertical="center" wrapText="1" indent="1"/>
    </xf>
    <xf numFmtId="0" fontId="541" fillId="0" borderId="1" xfId="0" applyFont="1" applyBorder="1" applyAlignment="1">
      <alignment horizontal="left" vertical="center" wrapText="1" indent="1"/>
    </xf>
    <xf numFmtId="0" fontId="542" fillId="0" borderId="1" xfId="0" applyFont="1" applyBorder="1" applyAlignment="1">
      <alignment horizontal="left" vertical="center" wrapText="1" indent="1"/>
    </xf>
    <xf numFmtId="0" fontId="543" fillId="0" borderId="1" xfId="0" applyFont="1" applyBorder="1" applyAlignment="1">
      <alignment horizontal="left" vertical="center" wrapText="1" indent="1"/>
    </xf>
    <xf numFmtId="0" fontId="544" fillId="0" borderId="1" xfId="0" applyFont="1" applyBorder="1" applyAlignment="1">
      <alignment horizontal="left" vertical="center" wrapText="1" indent="1"/>
    </xf>
    <xf numFmtId="0" fontId="545" fillId="0" borderId="1" xfId="0" applyFont="1" applyBorder="1" applyAlignment="1">
      <alignment horizontal="left" vertical="center" wrapText="1" indent="1"/>
    </xf>
    <xf numFmtId="0" fontId="546" fillId="0" borderId="1" xfId="0" applyFont="1" applyBorder="1" applyAlignment="1">
      <alignment horizontal="left" vertical="center" wrapText="1" indent="1"/>
    </xf>
    <xf numFmtId="0" fontId="547" fillId="0" borderId="1" xfId="0" applyFont="1" applyBorder="1" applyAlignment="1">
      <alignment horizontal="left" vertical="center" wrapText="1" indent="1"/>
    </xf>
    <xf numFmtId="0" fontId="548" fillId="0" borderId="1" xfId="0" applyFont="1" applyBorder="1" applyAlignment="1">
      <alignment horizontal="left" vertical="center" wrapText="1" indent="1"/>
    </xf>
    <xf numFmtId="0" fontId="549" fillId="0" borderId="1" xfId="0" applyFont="1" applyBorder="1" applyAlignment="1">
      <alignment horizontal="left" vertical="center" wrapText="1" indent="1"/>
    </xf>
    <xf numFmtId="0" fontId="550" fillId="0" borderId="1" xfId="0" applyFont="1" applyBorder="1" applyAlignment="1">
      <alignment horizontal="left" vertical="center" wrapText="1" indent="1"/>
    </xf>
    <xf numFmtId="0" fontId="551" fillId="0" borderId="1" xfId="0" applyFont="1" applyBorder="1" applyAlignment="1">
      <alignment horizontal="left" vertical="center" wrapText="1" indent="1"/>
    </xf>
    <xf numFmtId="0" fontId="552" fillId="0" borderId="1" xfId="0" applyFont="1" applyBorder="1" applyAlignment="1">
      <alignment horizontal="left" vertical="center" wrapText="1" indent="1"/>
    </xf>
    <xf numFmtId="0" fontId="553" fillId="0" borderId="1" xfId="0" applyFont="1" applyBorder="1" applyAlignment="1">
      <alignment horizontal="left" vertical="center" wrapText="1" indent="1"/>
    </xf>
    <xf numFmtId="0" fontId="554" fillId="0" borderId="1" xfId="0" applyFont="1" applyBorder="1" applyAlignment="1">
      <alignment horizontal="left" vertical="center" wrapText="1" indent="1"/>
    </xf>
    <xf numFmtId="0" fontId="555" fillId="0" borderId="1" xfId="0" applyFont="1" applyBorder="1" applyAlignment="1">
      <alignment horizontal="left" vertical="center" wrapText="1" indent="1"/>
    </xf>
    <xf numFmtId="0" fontId="556" fillId="0" borderId="1" xfId="0" applyFont="1" applyBorder="1" applyAlignment="1">
      <alignment horizontal="left" vertical="center" wrapText="1" indent="1"/>
    </xf>
    <xf numFmtId="0" fontId="557" fillId="0" borderId="1" xfId="0" applyFont="1" applyBorder="1" applyAlignment="1">
      <alignment horizontal="left" vertical="center" wrapText="1" indent="1"/>
    </xf>
    <xf numFmtId="0" fontId="558" fillId="0" borderId="1" xfId="0" applyFont="1" applyBorder="1" applyAlignment="1">
      <alignment horizontal="left" vertical="center" wrapText="1" indent="1"/>
    </xf>
    <xf numFmtId="0" fontId="559" fillId="0" borderId="1" xfId="0" applyFont="1" applyBorder="1" applyAlignment="1">
      <alignment horizontal="left" vertical="center" wrapText="1" indent="1"/>
    </xf>
    <xf numFmtId="0" fontId="560" fillId="0" borderId="1" xfId="0" applyFont="1" applyBorder="1" applyAlignment="1">
      <alignment horizontal="left" vertical="center" wrapText="1" indent="1"/>
    </xf>
    <xf numFmtId="0" fontId="561" fillId="0" borderId="1" xfId="0" applyFont="1" applyBorder="1" applyAlignment="1">
      <alignment horizontal="left" vertical="center" wrapText="1" indent="1"/>
    </xf>
    <xf numFmtId="0" fontId="562" fillId="0" borderId="1" xfId="0" applyFont="1" applyBorder="1" applyAlignment="1">
      <alignment horizontal="left" vertical="center" wrapText="1" indent="1"/>
    </xf>
    <xf numFmtId="0" fontId="563" fillId="0" borderId="1" xfId="0" applyFont="1" applyBorder="1" applyAlignment="1">
      <alignment horizontal="left" vertical="center" wrapText="1" indent="1"/>
    </xf>
    <xf numFmtId="0" fontId="564" fillId="0" borderId="1" xfId="0" applyFont="1" applyBorder="1" applyAlignment="1">
      <alignment horizontal="left" vertical="center" wrapText="1" indent="1"/>
    </xf>
    <xf numFmtId="0" fontId="565" fillId="0" borderId="1" xfId="0" applyFont="1" applyBorder="1" applyAlignment="1">
      <alignment horizontal="left" vertical="center" wrapText="1" indent="1"/>
    </xf>
    <xf numFmtId="0" fontId="566" fillId="0" borderId="1" xfId="0" applyFont="1" applyBorder="1" applyAlignment="1">
      <alignment horizontal="left" vertical="center" wrapText="1" indent="1"/>
    </xf>
    <xf numFmtId="0" fontId="567" fillId="0" borderId="1" xfId="0" applyFont="1" applyBorder="1" applyAlignment="1">
      <alignment horizontal="left" vertical="center" wrapText="1" indent="1"/>
    </xf>
    <xf numFmtId="0" fontId="568" fillId="0" borderId="1" xfId="0" applyFont="1" applyBorder="1" applyAlignment="1">
      <alignment horizontal="left" vertical="center" wrapText="1" indent="1"/>
    </xf>
    <xf numFmtId="0" fontId="569" fillId="0" borderId="1" xfId="0" applyFont="1" applyBorder="1" applyAlignment="1">
      <alignment horizontal="left" vertical="center" wrapText="1" indent="1"/>
    </xf>
    <xf numFmtId="0" fontId="570" fillId="0" borderId="1" xfId="0" applyFont="1" applyBorder="1" applyAlignment="1">
      <alignment horizontal="left" vertical="center" wrapText="1" indent="1"/>
    </xf>
    <xf numFmtId="0" fontId="571" fillId="0" borderId="1" xfId="0" applyFont="1" applyBorder="1" applyAlignment="1">
      <alignment horizontal="left" vertical="center" wrapText="1" indent="1"/>
    </xf>
    <xf numFmtId="0" fontId="572" fillId="0" borderId="1" xfId="0" applyFont="1" applyBorder="1" applyAlignment="1">
      <alignment horizontal="left" vertical="center" wrapText="1" indent="1"/>
    </xf>
    <xf numFmtId="0" fontId="573" fillId="0" borderId="1" xfId="0" applyFont="1" applyBorder="1" applyAlignment="1">
      <alignment horizontal="left" vertical="center" wrapText="1" indent="1"/>
    </xf>
    <xf numFmtId="0" fontId="574" fillId="0" borderId="1" xfId="0" applyFont="1" applyBorder="1" applyAlignment="1">
      <alignment horizontal="left" vertical="center" wrapText="1" indent="1"/>
    </xf>
    <xf numFmtId="0" fontId="575" fillId="0" borderId="1" xfId="0" applyFont="1" applyBorder="1" applyAlignment="1">
      <alignment horizontal="left" vertical="center" wrapText="1" indent="1"/>
    </xf>
    <xf numFmtId="0" fontId="576" fillId="0" borderId="1" xfId="0" applyFont="1" applyBorder="1" applyAlignment="1">
      <alignment horizontal="left" vertical="center" wrapText="1" indent="1"/>
    </xf>
    <xf numFmtId="0" fontId="577" fillId="0" borderId="1" xfId="0" applyFont="1" applyBorder="1" applyAlignment="1">
      <alignment horizontal="left" vertical="center" wrapText="1" indent="1"/>
    </xf>
    <xf numFmtId="0" fontId="578" fillId="0" borderId="1" xfId="0" applyFont="1" applyBorder="1" applyAlignment="1">
      <alignment horizontal="left" vertical="center" wrapText="1" indent="1"/>
    </xf>
    <xf numFmtId="0" fontId="579" fillId="0" borderId="1" xfId="0" applyFont="1" applyBorder="1" applyAlignment="1">
      <alignment horizontal="left" vertical="center" wrapText="1" indent="1"/>
    </xf>
    <xf numFmtId="0" fontId="580" fillId="0" borderId="1" xfId="0" applyFont="1" applyBorder="1" applyAlignment="1">
      <alignment horizontal="left" vertical="center" wrapText="1" indent="1"/>
    </xf>
    <xf numFmtId="0" fontId="581" fillId="0" borderId="1" xfId="0" applyFont="1" applyBorder="1" applyAlignment="1">
      <alignment horizontal="left" vertical="center" wrapText="1" indent="1"/>
    </xf>
    <xf numFmtId="0" fontId="582" fillId="0" borderId="1" xfId="0" applyFont="1" applyBorder="1" applyAlignment="1">
      <alignment horizontal="left" vertical="center" wrapText="1" indent="1"/>
    </xf>
    <xf numFmtId="0" fontId="583" fillId="0" borderId="1" xfId="0" applyFont="1" applyBorder="1" applyAlignment="1">
      <alignment horizontal="left" vertical="center" wrapText="1" indent="1"/>
    </xf>
    <xf numFmtId="0" fontId="584" fillId="0" borderId="1" xfId="0" applyFont="1" applyBorder="1" applyAlignment="1">
      <alignment horizontal="left" vertical="center" wrapText="1" indent="1"/>
    </xf>
    <xf numFmtId="0" fontId="585" fillId="0" borderId="1" xfId="0" applyFont="1" applyBorder="1" applyAlignment="1">
      <alignment horizontal="left" vertical="center" wrapText="1" indent="1"/>
    </xf>
    <xf numFmtId="0" fontId="586" fillId="0" borderId="1" xfId="0" applyFont="1" applyBorder="1" applyAlignment="1">
      <alignment horizontal="left" vertical="center" wrapText="1" indent="1"/>
    </xf>
    <xf numFmtId="0" fontId="587" fillId="0" borderId="1" xfId="0" applyFont="1" applyBorder="1" applyAlignment="1">
      <alignment horizontal="left" vertical="center" wrapText="1" indent="1"/>
    </xf>
    <xf numFmtId="0" fontId="588" fillId="0" borderId="1" xfId="0" applyFont="1" applyBorder="1" applyAlignment="1">
      <alignment horizontal="left" vertical="center" wrapText="1" indent="1"/>
    </xf>
    <xf numFmtId="0" fontId="589" fillId="0" borderId="1" xfId="0" applyFont="1" applyBorder="1" applyAlignment="1">
      <alignment horizontal="left" vertical="center" wrapText="1" indent="1"/>
    </xf>
    <xf numFmtId="0" fontId="590" fillId="0" borderId="1" xfId="0" applyFont="1" applyBorder="1" applyAlignment="1">
      <alignment horizontal="left" vertical="center" wrapText="1" indent="1"/>
    </xf>
    <xf numFmtId="0" fontId="591" fillId="0" borderId="1" xfId="0" applyFont="1" applyBorder="1" applyAlignment="1">
      <alignment horizontal="left" vertical="center" wrapText="1" indent="1"/>
    </xf>
    <xf numFmtId="0" fontId="592" fillId="0" borderId="1" xfId="0" applyFont="1" applyBorder="1" applyAlignment="1">
      <alignment horizontal="left" vertical="center" wrapText="1" indent="1"/>
    </xf>
    <xf numFmtId="0" fontId="593" fillId="0" borderId="1" xfId="0" applyFont="1" applyBorder="1" applyAlignment="1">
      <alignment horizontal="left" vertical="center" wrapText="1" indent="1"/>
    </xf>
    <xf numFmtId="0" fontId="594" fillId="0" borderId="1" xfId="0" applyFont="1" applyBorder="1" applyAlignment="1">
      <alignment horizontal="left" vertical="center" wrapText="1" indent="1"/>
    </xf>
    <xf numFmtId="0" fontId="595" fillId="0" borderId="1" xfId="0" applyFont="1" applyBorder="1" applyAlignment="1">
      <alignment horizontal="left" vertical="center" wrapText="1" indent="1"/>
    </xf>
    <xf numFmtId="0" fontId="596" fillId="0" borderId="1" xfId="0" applyFont="1" applyBorder="1" applyAlignment="1">
      <alignment horizontal="left" vertical="center" wrapText="1" indent="1"/>
    </xf>
    <xf numFmtId="0" fontId="597" fillId="0" borderId="1" xfId="0" applyFont="1" applyBorder="1" applyAlignment="1">
      <alignment horizontal="left" vertical="center" wrapText="1" indent="1"/>
    </xf>
    <xf numFmtId="0" fontId="598" fillId="0" borderId="1" xfId="0" applyFont="1" applyBorder="1" applyAlignment="1">
      <alignment horizontal="left" vertical="center" wrapText="1" indent="1"/>
    </xf>
    <xf numFmtId="0" fontId="599" fillId="0" borderId="1" xfId="0" applyFont="1" applyBorder="1" applyAlignment="1">
      <alignment horizontal="left" vertical="center" wrapText="1" indent="1"/>
    </xf>
    <xf numFmtId="0" fontId="600" fillId="0" borderId="1" xfId="0" applyFont="1" applyBorder="1" applyAlignment="1">
      <alignment horizontal="left" vertical="center" wrapText="1" indent="1"/>
    </xf>
    <xf numFmtId="0" fontId="601" fillId="0" borderId="1" xfId="0" applyFont="1" applyBorder="1" applyAlignment="1">
      <alignment horizontal="left" vertical="center" wrapText="1" indent="1"/>
    </xf>
    <xf numFmtId="0" fontId="602" fillId="0" borderId="1" xfId="0" applyFont="1" applyBorder="1" applyAlignment="1">
      <alignment horizontal="left" vertical="center" wrapText="1" indent="1"/>
    </xf>
    <xf numFmtId="0" fontId="603" fillId="0" borderId="1" xfId="0" applyFont="1" applyBorder="1" applyAlignment="1">
      <alignment horizontal="left" vertical="center" wrapText="1" indent="1"/>
    </xf>
    <xf numFmtId="0" fontId="604" fillId="0" borderId="1" xfId="0" applyFont="1" applyBorder="1" applyAlignment="1">
      <alignment horizontal="left" vertical="center" wrapText="1" indent="1"/>
    </xf>
    <xf numFmtId="0" fontId="605" fillId="0" borderId="1" xfId="0" applyFont="1" applyBorder="1" applyAlignment="1">
      <alignment horizontal="left" vertical="center" wrapText="1" indent="1"/>
    </xf>
    <xf numFmtId="0" fontId="606" fillId="0" borderId="1" xfId="0" applyFont="1" applyBorder="1" applyAlignment="1">
      <alignment horizontal="left" vertical="center" wrapText="1" indent="1"/>
    </xf>
    <xf numFmtId="0" fontId="607" fillId="0" borderId="1" xfId="0" applyFont="1" applyBorder="1" applyAlignment="1">
      <alignment horizontal="left" vertical="center" wrapText="1" indent="1"/>
    </xf>
    <xf numFmtId="0" fontId="608" fillId="0" borderId="1" xfId="0" applyFont="1" applyBorder="1" applyAlignment="1">
      <alignment horizontal="left" vertical="center" wrapText="1" indent="1"/>
    </xf>
    <xf numFmtId="0" fontId="609" fillId="0" borderId="1" xfId="0" applyFont="1" applyBorder="1" applyAlignment="1">
      <alignment horizontal="left" vertical="center" wrapText="1" indent="1"/>
    </xf>
    <xf numFmtId="0" fontId="610" fillId="0" borderId="1" xfId="0" applyFont="1" applyBorder="1" applyAlignment="1">
      <alignment horizontal="left" vertical="center" wrapText="1" indent="1"/>
    </xf>
    <xf numFmtId="0" fontId="611" fillId="0" borderId="1" xfId="0" applyFont="1" applyBorder="1" applyAlignment="1">
      <alignment horizontal="left" vertical="center" wrapText="1" indent="1"/>
    </xf>
    <xf numFmtId="0" fontId="612" fillId="0" borderId="1" xfId="0" applyFont="1" applyBorder="1" applyAlignment="1">
      <alignment horizontal="left" vertical="center" wrapText="1" indent="1"/>
    </xf>
    <xf numFmtId="0" fontId="613" fillId="0" borderId="1" xfId="0" applyFont="1" applyBorder="1" applyAlignment="1">
      <alignment horizontal="left" vertical="center" wrapText="1" indent="1"/>
    </xf>
    <xf numFmtId="0" fontId="614" fillId="0" borderId="1" xfId="0" applyFont="1" applyBorder="1" applyAlignment="1">
      <alignment horizontal="left" vertical="center" wrapText="1" indent="1"/>
    </xf>
    <xf numFmtId="0" fontId="615" fillId="0" borderId="1" xfId="0" applyFont="1" applyBorder="1" applyAlignment="1">
      <alignment horizontal="left" vertical="center" wrapText="1" indent="1"/>
    </xf>
    <xf numFmtId="0" fontId="616" fillId="0" borderId="1" xfId="0" applyFont="1" applyBorder="1" applyAlignment="1">
      <alignment horizontal="left" vertical="center" wrapText="1" indent="1"/>
    </xf>
    <xf numFmtId="0" fontId="617" fillId="0" borderId="1" xfId="0" applyFont="1" applyBorder="1" applyAlignment="1">
      <alignment horizontal="left" vertical="center" wrapText="1" indent="1"/>
    </xf>
    <xf numFmtId="0" fontId="618" fillId="0" borderId="1" xfId="0" applyFont="1" applyBorder="1" applyAlignment="1">
      <alignment horizontal="left" vertical="center" wrapText="1" indent="1"/>
    </xf>
    <xf numFmtId="0" fontId="619" fillId="0" borderId="1" xfId="0" applyFont="1" applyBorder="1" applyAlignment="1">
      <alignment horizontal="left" vertical="center" wrapText="1" indent="1"/>
    </xf>
    <xf numFmtId="0" fontId="620" fillId="0" borderId="1" xfId="0" applyFont="1" applyBorder="1" applyAlignment="1">
      <alignment horizontal="left" vertical="center" wrapText="1" indent="1"/>
    </xf>
    <xf numFmtId="0" fontId="621" fillId="0" borderId="1" xfId="0" applyFont="1" applyBorder="1" applyAlignment="1">
      <alignment horizontal="left" vertical="center" wrapText="1" indent="1"/>
    </xf>
    <xf numFmtId="0" fontId="622" fillId="0" borderId="1" xfId="0" applyFont="1" applyBorder="1" applyAlignment="1">
      <alignment horizontal="left" vertical="center" wrapText="1" indent="1"/>
    </xf>
    <xf numFmtId="0" fontId="623" fillId="0" borderId="1" xfId="0" applyFont="1" applyBorder="1" applyAlignment="1">
      <alignment horizontal="left" vertical="center" wrapText="1" indent="1"/>
    </xf>
    <xf numFmtId="0" fontId="624" fillId="0" borderId="1" xfId="0" applyFont="1" applyBorder="1" applyAlignment="1">
      <alignment horizontal="left" vertical="center" wrapText="1" indent="1"/>
    </xf>
    <xf numFmtId="0" fontId="625" fillId="0" borderId="1" xfId="0" applyFont="1" applyBorder="1" applyAlignment="1">
      <alignment horizontal="left" vertical="center" wrapText="1" indent="1"/>
    </xf>
    <xf numFmtId="0" fontId="626" fillId="0" borderId="1" xfId="0" applyFont="1" applyBorder="1" applyAlignment="1">
      <alignment horizontal="left" vertical="center" wrapText="1" indent="1"/>
    </xf>
    <xf numFmtId="0" fontId="627" fillId="0" borderId="1" xfId="0" applyFont="1" applyBorder="1" applyAlignment="1">
      <alignment horizontal="left" vertical="center" wrapText="1" indent="1"/>
    </xf>
    <xf numFmtId="0" fontId="628" fillId="0" borderId="1" xfId="0" applyFont="1" applyBorder="1" applyAlignment="1">
      <alignment horizontal="left" vertical="center" wrapText="1" indent="1"/>
    </xf>
    <xf numFmtId="0" fontId="629" fillId="0" borderId="1" xfId="0" applyFont="1" applyBorder="1" applyAlignment="1">
      <alignment horizontal="left" vertical="center" wrapText="1" indent="1"/>
    </xf>
    <xf numFmtId="0" fontId="630" fillId="0" borderId="1" xfId="0" applyFont="1" applyBorder="1" applyAlignment="1">
      <alignment horizontal="left" vertical="center" wrapText="1" indent="1"/>
    </xf>
    <xf numFmtId="0" fontId="631" fillId="0" borderId="1" xfId="0" applyFont="1" applyBorder="1" applyAlignment="1">
      <alignment horizontal="left" vertical="center" wrapText="1" indent="1"/>
    </xf>
    <xf numFmtId="0" fontId="632" fillId="0" borderId="1" xfId="0" applyFont="1" applyBorder="1" applyAlignment="1">
      <alignment horizontal="left" vertical="center" wrapText="1" indent="1"/>
    </xf>
    <xf numFmtId="0" fontId="633" fillId="0" borderId="1" xfId="0" applyFont="1" applyBorder="1" applyAlignment="1">
      <alignment horizontal="left" vertical="center" wrapText="1" indent="1"/>
    </xf>
    <xf numFmtId="0" fontId="634" fillId="0" borderId="1" xfId="0" applyFont="1" applyBorder="1" applyAlignment="1">
      <alignment horizontal="left" vertical="center" wrapText="1" indent="1"/>
    </xf>
    <xf numFmtId="0" fontId="635" fillId="0" borderId="1" xfId="0" applyFont="1" applyBorder="1" applyAlignment="1">
      <alignment horizontal="left" vertical="center" wrapText="1" indent="1"/>
    </xf>
    <xf numFmtId="0" fontId="636" fillId="0" borderId="1" xfId="0" applyFont="1" applyBorder="1" applyAlignment="1">
      <alignment horizontal="left" vertical="center" wrapText="1" indent="1"/>
    </xf>
    <xf numFmtId="0" fontId="637" fillId="0" borderId="1" xfId="0" applyFont="1" applyBorder="1" applyAlignment="1">
      <alignment horizontal="left" vertical="center" wrapText="1" indent="1"/>
    </xf>
    <xf numFmtId="0" fontId="638" fillId="0" borderId="1" xfId="0" applyFont="1" applyBorder="1" applyAlignment="1">
      <alignment horizontal="left" vertical="center" wrapText="1" indent="1"/>
    </xf>
    <xf numFmtId="0" fontId="639" fillId="0" borderId="1" xfId="0" applyFont="1" applyBorder="1" applyAlignment="1">
      <alignment horizontal="left" vertical="center" wrapText="1" indent="1"/>
    </xf>
    <xf numFmtId="0" fontId="640" fillId="0" borderId="1" xfId="0" applyFont="1" applyBorder="1" applyAlignment="1">
      <alignment horizontal="left" vertical="center" wrapText="1" indent="1"/>
    </xf>
    <xf numFmtId="0" fontId="641" fillId="0" borderId="1" xfId="0" applyFont="1" applyBorder="1" applyAlignment="1">
      <alignment horizontal="left" vertical="center" wrapText="1" indent="1"/>
    </xf>
    <xf numFmtId="0" fontId="642" fillId="0" borderId="1" xfId="0" applyFont="1" applyBorder="1" applyAlignment="1">
      <alignment horizontal="left" vertical="center" wrapText="1" indent="1"/>
    </xf>
    <xf numFmtId="0" fontId="643" fillId="0" borderId="1" xfId="0" applyFont="1" applyBorder="1" applyAlignment="1">
      <alignment horizontal="left" vertical="center" wrapText="1" indent="1"/>
    </xf>
    <xf numFmtId="0" fontId="644" fillId="0" borderId="1" xfId="0" applyFont="1" applyBorder="1" applyAlignment="1">
      <alignment horizontal="left" vertical="center" wrapText="1" indent="1"/>
    </xf>
    <xf numFmtId="0" fontId="645" fillId="0" borderId="1" xfId="0" applyFont="1" applyBorder="1" applyAlignment="1">
      <alignment horizontal="left" vertical="center" wrapText="1" indent="1"/>
    </xf>
    <xf numFmtId="0" fontId="646" fillId="0" borderId="1" xfId="0" applyFont="1" applyBorder="1" applyAlignment="1">
      <alignment horizontal="left" vertical="center" wrapText="1" indent="1"/>
    </xf>
    <xf numFmtId="0" fontId="647" fillId="0" borderId="1" xfId="0" applyFont="1" applyBorder="1" applyAlignment="1">
      <alignment horizontal="left" vertical="center" wrapText="1" indent="1"/>
    </xf>
    <xf numFmtId="0" fontId="648" fillId="0" borderId="1" xfId="0" applyFont="1" applyBorder="1" applyAlignment="1">
      <alignment horizontal="left" vertical="center" wrapText="1" indent="1"/>
    </xf>
    <xf numFmtId="0" fontId="649" fillId="0" borderId="1" xfId="0" applyFont="1" applyBorder="1" applyAlignment="1">
      <alignment horizontal="left" vertical="center" wrapText="1" indent="1"/>
    </xf>
    <xf numFmtId="0" fontId="650" fillId="0" borderId="1" xfId="0" applyFont="1" applyBorder="1" applyAlignment="1">
      <alignment horizontal="left" vertical="center" wrapText="1" indent="1"/>
    </xf>
    <xf numFmtId="0" fontId="651" fillId="0" borderId="1" xfId="0" applyFont="1" applyBorder="1" applyAlignment="1">
      <alignment horizontal="left" vertical="center" wrapText="1" indent="1"/>
    </xf>
    <xf numFmtId="0" fontId="652" fillId="0" borderId="1" xfId="0" applyFont="1" applyBorder="1" applyAlignment="1">
      <alignment horizontal="left" vertical="center" wrapText="1" indent="1"/>
    </xf>
    <xf numFmtId="0" fontId="653" fillId="0" borderId="1" xfId="0" applyFont="1" applyBorder="1" applyAlignment="1">
      <alignment horizontal="left" vertical="center" wrapText="1" indent="1"/>
    </xf>
    <xf numFmtId="0" fontId="654" fillId="0" borderId="1" xfId="0" applyFont="1" applyBorder="1" applyAlignment="1">
      <alignment horizontal="left" vertical="center" wrapText="1" indent="1"/>
    </xf>
    <xf numFmtId="0" fontId="655" fillId="0" borderId="1" xfId="0" applyFont="1" applyBorder="1" applyAlignment="1">
      <alignment horizontal="left" vertical="center" wrapText="1" indent="1"/>
    </xf>
    <xf numFmtId="0" fontId="656" fillId="0" borderId="1" xfId="0" applyFont="1" applyBorder="1" applyAlignment="1">
      <alignment horizontal="left" vertical="center" wrapText="1" indent="1"/>
    </xf>
    <xf numFmtId="0" fontId="657" fillId="0" borderId="1" xfId="0" applyFont="1" applyBorder="1" applyAlignment="1">
      <alignment horizontal="left" vertical="center" wrapText="1" indent="1"/>
    </xf>
    <xf numFmtId="0" fontId="658" fillId="0" borderId="1" xfId="0" applyFont="1" applyBorder="1" applyAlignment="1">
      <alignment horizontal="left" vertical="center" wrapText="1" indent="1"/>
    </xf>
    <xf numFmtId="0" fontId="659" fillId="0" borderId="1" xfId="0" applyFont="1" applyBorder="1" applyAlignment="1">
      <alignment horizontal="left" vertical="center" wrapText="1" indent="1"/>
    </xf>
    <xf numFmtId="0" fontId="660" fillId="0" borderId="1" xfId="0" applyFont="1" applyBorder="1" applyAlignment="1">
      <alignment horizontal="left" vertical="center" wrapText="1" indent="1"/>
    </xf>
    <xf numFmtId="0" fontId="661" fillId="0" borderId="1" xfId="0" applyFont="1" applyBorder="1" applyAlignment="1">
      <alignment horizontal="left" vertical="center" wrapText="1" indent="1"/>
    </xf>
    <xf numFmtId="0" fontId="662" fillId="0" borderId="1" xfId="0" applyFont="1" applyBorder="1" applyAlignment="1">
      <alignment horizontal="left" vertical="center" wrapText="1" indent="1"/>
    </xf>
    <xf numFmtId="0" fontId="663" fillId="0" borderId="1" xfId="0" applyFont="1" applyBorder="1" applyAlignment="1">
      <alignment horizontal="left" vertical="center" wrapText="1" indent="1"/>
    </xf>
    <xf numFmtId="0" fontId="664" fillId="0" borderId="1" xfId="0" applyFont="1" applyBorder="1" applyAlignment="1">
      <alignment horizontal="left" vertical="center" wrapText="1" indent="1"/>
    </xf>
    <xf numFmtId="0" fontId="665" fillId="0" borderId="1" xfId="0" applyFont="1" applyBorder="1" applyAlignment="1">
      <alignment horizontal="left" vertical="center" wrapText="1" indent="1"/>
    </xf>
    <xf numFmtId="0" fontId="666" fillId="0" borderId="1" xfId="0" applyFont="1" applyBorder="1" applyAlignment="1">
      <alignment horizontal="left" vertical="center" wrapText="1" indent="1"/>
    </xf>
    <xf numFmtId="0" fontId="667" fillId="0" borderId="1" xfId="0" applyFont="1" applyBorder="1" applyAlignment="1">
      <alignment horizontal="left" vertical="center" wrapText="1" indent="1"/>
    </xf>
    <xf numFmtId="0" fontId="668" fillId="0" borderId="1" xfId="0" applyFont="1" applyBorder="1" applyAlignment="1">
      <alignment horizontal="left" vertical="center" wrapText="1" indent="1"/>
    </xf>
    <xf numFmtId="0" fontId="669" fillId="0" borderId="1" xfId="0" applyFont="1" applyBorder="1" applyAlignment="1">
      <alignment horizontal="left" vertical="center" wrapText="1" indent="1"/>
    </xf>
    <xf numFmtId="0" fontId="670" fillId="0" borderId="1" xfId="0" applyFont="1" applyBorder="1" applyAlignment="1">
      <alignment horizontal="left" vertical="center" wrapText="1" indent="1"/>
    </xf>
    <xf numFmtId="0" fontId="671" fillId="0" borderId="1" xfId="0" applyFont="1" applyBorder="1" applyAlignment="1">
      <alignment horizontal="left" vertical="center" wrapText="1" indent="1"/>
    </xf>
    <xf numFmtId="0" fontId="672" fillId="0" borderId="1" xfId="0" applyFont="1" applyBorder="1" applyAlignment="1">
      <alignment horizontal="left" vertical="center" wrapText="1" indent="1"/>
    </xf>
    <xf numFmtId="0" fontId="673" fillId="0" borderId="1" xfId="0" applyFont="1" applyBorder="1" applyAlignment="1">
      <alignment horizontal="left" vertical="center" wrapText="1" indent="1"/>
    </xf>
    <xf numFmtId="0" fontId="674" fillId="0" borderId="1" xfId="0" applyFont="1" applyBorder="1" applyAlignment="1">
      <alignment horizontal="left" vertical="center" wrapText="1" indent="1"/>
    </xf>
    <xf numFmtId="0" fontId="675" fillId="0" borderId="1" xfId="0" applyFont="1" applyBorder="1" applyAlignment="1">
      <alignment horizontal="left" vertical="center" wrapText="1" indent="1"/>
    </xf>
    <xf numFmtId="0" fontId="676" fillId="0" borderId="1" xfId="0" applyFont="1" applyBorder="1" applyAlignment="1">
      <alignment horizontal="left" vertical="center" wrapText="1" indent="1"/>
    </xf>
    <xf numFmtId="0" fontId="677" fillId="0" borderId="1" xfId="0" applyFont="1" applyBorder="1" applyAlignment="1">
      <alignment horizontal="left" vertical="center" wrapText="1" indent="1"/>
    </xf>
    <xf numFmtId="0" fontId="678" fillId="0" borderId="1" xfId="0" applyFont="1" applyBorder="1" applyAlignment="1">
      <alignment horizontal="left" vertical="center" wrapText="1" indent="1"/>
    </xf>
    <xf numFmtId="0" fontId="679" fillId="0" borderId="1" xfId="0" applyFont="1" applyBorder="1" applyAlignment="1">
      <alignment horizontal="left" vertical="center" wrapText="1" indent="1"/>
    </xf>
    <xf numFmtId="0" fontId="680" fillId="0" borderId="1" xfId="0" applyFont="1" applyBorder="1" applyAlignment="1">
      <alignment horizontal="left" vertical="center" wrapText="1" indent="1"/>
    </xf>
    <xf numFmtId="0" fontId="681" fillId="0" borderId="1" xfId="0" applyFont="1" applyBorder="1" applyAlignment="1">
      <alignment horizontal="left" vertical="center" wrapText="1" indent="1"/>
    </xf>
    <xf numFmtId="0" fontId="682" fillId="0" borderId="1" xfId="0" applyFont="1" applyBorder="1" applyAlignment="1">
      <alignment horizontal="left" vertical="center" wrapText="1" indent="1"/>
    </xf>
    <xf numFmtId="0" fontId="683" fillId="0" borderId="1" xfId="0" applyFont="1" applyBorder="1" applyAlignment="1">
      <alignment horizontal="left" vertical="center" wrapText="1" indent="1"/>
    </xf>
    <xf numFmtId="0" fontId="684" fillId="0" borderId="1" xfId="0" applyFont="1" applyBorder="1" applyAlignment="1">
      <alignment horizontal="left" vertical="center" wrapText="1" indent="1"/>
    </xf>
    <xf numFmtId="0" fontId="685" fillId="0" borderId="1" xfId="0" applyFont="1" applyBorder="1" applyAlignment="1">
      <alignment horizontal="left" vertical="center" wrapText="1" indent="1"/>
    </xf>
    <xf numFmtId="0" fontId="686" fillId="0" borderId="1" xfId="0" applyFont="1" applyBorder="1" applyAlignment="1">
      <alignment horizontal="left" vertical="center" wrapText="1" indent="1"/>
    </xf>
    <xf numFmtId="0" fontId="687" fillId="0" borderId="1" xfId="0" applyFont="1" applyBorder="1" applyAlignment="1">
      <alignment horizontal="left" vertical="center" wrapText="1" indent="1"/>
    </xf>
    <xf numFmtId="0" fontId="688" fillId="0" borderId="1" xfId="0" applyFont="1" applyBorder="1" applyAlignment="1">
      <alignment horizontal="left" vertical="center" wrapText="1" indent="1"/>
    </xf>
    <xf numFmtId="0" fontId="689" fillId="0" borderId="1" xfId="0" applyFont="1" applyBorder="1" applyAlignment="1">
      <alignment horizontal="left" vertical="center" wrapText="1" indent="1"/>
    </xf>
    <xf numFmtId="0" fontId="690" fillId="0" borderId="1" xfId="0" applyFont="1" applyBorder="1" applyAlignment="1">
      <alignment horizontal="left" vertical="center" wrapText="1" indent="1"/>
    </xf>
    <xf numFmtId="0" fontId="691" fillId="0" borderId="1" xfId="0" applyFont="1" applyBorder="1" applyAlignment="1">
      <alignment horizontal="left" vertical="center" wrapText="1" indent="1"/>
    </xf>
    <xf numFmtId="0" fontId="692" fillId="0" borderId="1" xfId="0" applyFont="1" applyBorder="1" applyAlignment="1">
      <alignment horizontal="left" vertical="center" wrapText="1" indent="1"/>
    </xf>
    <xf numFmtId="0" fontId="693" fillId="0" borderId="1" xfId="0" applyFont="1" applyBorder="1" applyAlignment="1">
      <alignment horizontal="left" vertical="center" wrapText="1" indent="1"/>
    </xf>
    <xf numFmtId="0" fontId="694" fillId="0" borderId="1" xfId="0" applyFont="1" applyBorder="1" applyAlignment="1">
      <alignment horizontal="left" vertical="center" wrapText="1" indent="1"/>
    </xf>
    <xf numFmtId="0" fontId="695" fillId="0" borderId="1" xfId="0" applyFont="1" applyBorder="1" applyAlignment="1">
      <alignment horizontal="left" vertical="center" wrapText="1" indent="1"/>
    </xf>
    <xf numFmtId="0" fontId="696" fillId="0" borderId="1" xfId="0" applyFont="1" applyBorder="1" applyAlignment="1">
      <alignment horizontal="left" vertical="center" wrapText="1" indent="1"/>
    </xf>
    <xf numFmtId="0" fontId="697" fillId="0" borderId="1" xfId="0" applyFont="1" applyBorder="1" applyAlignment="1">
      <alignment horizontal="left" vertical="center" wrapText="1" indent="1"/>
    </xf>
    <xf numFmtId="0" fontId="698" fillId="0" borderId="1" xfId="0" applyFont="1" applyBorder="1" applyAlignment="1">
      <alignment horizontal="left" vertical="center" wrapText="1" indent="1"/>
    </xf>
    <xf numFmtId="0" fontId="699" fillId="0" borderId="1" xfId="0" applyFont="1" applyBorder="1" applyAlignment="1">
      <alignment horizontal="left" vertical="center" wrapText="1" indent="1"/>
    </xf>
    <xf numFmtId="0" fontId="700" fillId="0" borderId="1" xfId="0" applyFont="1" applyBorder="1" applyAlignment="1">
      <alignment horizontal="left" vertical="center" wrapText="1" indent="1"/>
    </xf>
    <xf numFmtId="0" fontId="701" fillId="0" borderId="1" xfId="0" applyFont="1" applyBorder="1" applyAlignment="1">
      <alignment horizontal="left" vertical="center" wrapText="1" indent="1"/>
    </xf>
    <xf numFmtId="0" fontId="702" fillId="0" borderId="1" xfId="0" applyFont="1" applyBorder="1" applyAlignment="1">
      <alignment horizontal="left" vertical="center" wrapText="1" indent="1"/>
    </xf>
    <xf numFmtId="0" fontId="703" fillId="0" borderId="1" xfId="0" applyFont="1" applyBorder="1" applyAlignment="1">
      <alignment horizontal="left" vertical="center" wrapText="1" indent="1"/>
    </xf>
    <xf numFmtId="0" fontId="704" fillId="0" borderId="1" xfId="0" applyFont="1" applyBorder="1" applyAlignment="1">
      <alignment horizontal="left" vertical="center" wrapText="1" indent="1"/>
    </xf>
    <xf numFmtId="0" fontId="705" fillId="0" borderId="1" xfId="0" applyFont="1" applyBorder="1" applyAlignment="1">
      <alignment horizontal="left" vertical="center" wrapText="1" indent="1"/>
    </xf>
    <xf numFmtId="0" fontId="706" fillId="0" borderId="1" xfId="0" applyFont="1" applyBorder="1" applyAlignment="1">
      <alignment horizontal="left" vertical="center" wrapText="1" indent="1"/>
    </xf>
    <xf numFmtId="0" fontId="707" fillId="0" borderId="1" xfId="0" applyFont="1" applyBorder="1" applyAlignment="1">
      <alignment horizontal="left" vertical="center" wrapText="1" indent="1"/>
    </xf>
    <xf numFmtId="0" fontId="708" fillId="0" borderId="1" xfId="0" applyFont="1" applyBorder="1" applyAlignment="1">
      <alignment horizontal="left" vertical="center" wrapText="1" indent="1"/>
    </xf>
    <xf numFmtId="0" fontId="709" fillId="0" borderId="1" xfId="0" applyFont="1" applyBorder="1" applyAlignment="1">
      <alignment horizontal="left" vertical="center" wrapText="1" indent="1"/>
    </xf>
    <xf numFmtId="0" fontId="710" fillId="0" borderId="1" xfId="0" applyFont="1" applyBorder="1" applyAlignment="1">
      <alignment horizontal="left" vertical="center" wrapText="1" indent="1"/>
    </xf>
    <xf numFmtId="0" fontId="711" fillId="0" borderId="1" xfId="0" applyFont="1" applyBorder="1" applyAlignment="1">
      <alignment horizontal="left" vertical="center" wrapText="1" indent="1"/>
    </xf>
    <xf numFmtId="0" fontId="712" fillId="0" borderId="1" xfId="0" applyFont="1" applyBorder="1" applyAlignment="1">
      <alignment horizontal="left" vertical="center" wrapText="1" indent="1"/>
    </xf>
    <xf numFmtId="0" fontId="713" fillId="0" borderId="1" xfId="0" applyFont="1" applyBorder="1" applyAlignment="1">
      <alignment horizontal="left" vertical="center" wrapText="1" indent="1"/>
    </xf>
    <xf numFmtId="0" fontId="714" fillId="0" borderId="1" xfId="0" applyFont="1" applyBorder="1" applyAlignment="1">
      <alignment horizontal="left" vertical="center" wrapText="1" indent="1"/>
    </xf>
    <xf numFmtId="0" fontId="715" fillId="0" borderId="1" xfId="0" applyFont="1" applyBorder="1" applyAlignment="1">
      <alignment horizontal="left" vertical="center" wrapText="1" indent="1"/>
    </xf>
    <xf numFmtId="0" fontId="716" fillId="0" borderId="1" xfId="0" applyFont="1" applyBorder="1" applyAlignment="1">
      <alignment horizontal="left" vertical="center" wrapText="1" indent="1"/>
    </xf>
    <xf numFmtId="0" fontId="717" fillId="0" borderId="1" xfId="0" applyFont="1" applyBorder="1" applyAlignment="1">
      <alignment horizontal="left" vertical="center" wrapText="1" indent="1"/>
    </xf>
    <xf numFmtId="0" fontId="718" fillId="0" borderId="1" xfId="0" applyFont="1" applyBorder="1" applyAlignment="1">
      <alignment horizontal="left" vertical="center" wrapText="1" indent="1"/>
    </xf>
    <xf numFmtId="0" fontId="719" fillId="0" borderId="1" xfId="0" applyFont="1" applyBorder="1" applyAlignment="1">
      <alignment horizontal="left" vertical="center" wrapText="1" indent="1"/>
    </xf>
    <xf numFmtId="0" fontId="720" fillId="0" borderId="1" xfId="0" applyFont="1" applyBorder="1" applyAlignment="1">
      <alignment horizontal="left" vertical="center" wrapText="1" indent="1"/>
    </xf>
    <xf numFmtId="0" fontId="721" fillId="0" borderId="1" xfId="0" applyFont="1" applyBorder="1" applyAlignment="1">
      <alignment horizontal="left" vertical="center" wrapText="1" indent="1"/>
    </xf>
    <xf numFmtId="0" fontId="722" fillId="0" borderId="1" xfId="0" applyFont="1" applyBorder="1" applyAlignment="1">
      <alignment horizontal="left" vertical="center" wrapText="1" indent="1"/>
    </xf>
    <xf numFmtId="0" fontId="723" fillId="0" borderId="1" xfId="0" applyFont="1" applyBorder="1" applyAlignment="1">
      <alignment horizontal="left" vertical="center" wrapText="1" indent="1"/>
    </xf>
    <xf numFmtId="0" fontId="724" fillId="0" borderId="1" xfId="0" applyFont="1" applyBorder="1" applyAlignment="1">
      <alignment horizontal="left" vertical="center" wrapText="1" indent="1"/>
    </xf>
    <xf numFmtId="0" fontId="725" fillId="0" borderId="1" xfId="0" applyFont="1" applyBorder="1" applyAlignment="1">
      <alignment horizontal="left" vertical="center" wrapText="1" indent="1"/>
    </xf>
    <xf numFmtId="0" fontId="726" fillId="0" borderId="1" xfId="0" applyFont="1" applyBorder="1" applyAlignment="1">
      <alignment horizontal="left" vertical="center" wrapText="1" indent="1"/>
    </xf>
    <xf numFmtId="0" fontId="727" fillId="0" borderId="1" xfId="0" applyFont="1" applyBorder="1" applyAlignment="1">
      <alignment horizontal="left" vertical="center" wrapText="1" indent="1"/>
    </xf>
    <xf numFmtId="0" fontId="728" fillId="0" borderId="1" xfId="0" applyFont="1" applyBorder="1" applyAlignment="1">
      <alignment horizontal="left" vertical="center" wrapText="1" indent="1"/>
    </xf>
    <xf numFmtId="0" fontId="729" fillId="0" borderId="1" xfId="0" applyFont="1" applyBorder="1" applyAlignment="1">
      <alignment horizontal="left" vertical="center" wrapText="1" indent="1"/>
    </xf>
    <xf numFmtId="0" fontId="730" fillId="0" borderId="1" xfId="0" applyFont="1" applyBorder="1" applyAlignment="1">
      <alignment horizontal="left" vertical="center" wrapText="1" indent="1"/>
    </xf>
    <xf numFmtId="0" fontId="731" fillId="0" borderId="1" xfId="0" applyFont="1" applyBorder="1" applyAlignment="1">
      <alignment horizontal="left" vertical="center" wrapText="1" indent="1"/>
    </xf>
    <xf numFmtId="0" fontId="732" fillId="0" borderId="1" xfId="0" applyFont="1" applyBorder="1" applyAlignment="1">
      <alignment horizontal="left" vertical="center" wrapText="1" indent="1"/>
    </xf>
    <xf numFmtId="0" fontId="733" fillId="0" borderId="1" xfId="0" applyFont="1" applyBorder="1" applyAlignment="1">
      <alignment horizontal="left" vertical="center" wrapText="1" indent="1"/>
    </xf>
    <xf numFmtId="0" fontId="734" fillId="0" borderId="1" xfId="0" applyFont="1" applyBorder="1" applyAlignment="1">
      <alignment horizontal="left" vertical="center" wrapText="1" indent="1"/>
    </xf>
    <xf numFmtId="0" fontId="735" fillId="0" borderId="1" xfId="0" applyFont="1" applyBorder="1" applyAlignment="1">
      <alignment horizontal="left" vertical="center" wrapText="1" indent="1"/>
    </xf>
    <xf numFmtId="0" fontId="736" fillId="0" borderId="1" xfId="0" applyFont="1" applyBorder="1" applyAlignment="1">
      <alignment horizontal="left" vertical="center" wrapText="1" indent="1"/>
    </xf>
    <xf numFmtId="0" fontId="737" fillId="0" borderId="1" xfId="0" applyFont="1" applyBorder="1" applyAlignment="1">
      <alignment horizontal="left" vertical="center" wrapText="1" indent="1"/>
    </xf>
    <xf numFmtId="0" fontId="738" fillId="0" borderId="1" xfId="0" applyFont="1" applyBorder="1" applyAlignment="1">
      <alignment horizontal="left" vertical="center" wrapText="1" indent="1"/>
    </xf>
    <xf numFmtId="0" fontId="739" fillId="0" borderId="1" xfId="0" applyFont="1" applyBorder="1" applyAlignment="1">
      <alignment horizontal="left" vertical="center" wrapText="1" indent="1"/>
    </xf>
    <xf numFmtId="0" fontId="740" fillId="0" borderId="1" xfId="0" applyFont="1" applyBorder="1" applyAlignment="1">
      <alignment horizontal="left" vertical="center" wrapText="1" indent="1"/>
    </xf>
    <xf numFmtId="0" fontId="741" fillId="0" borderId="1" xfId="0" applyFont="1" applyBorder="1" applyAlignment="1">
      <alignment horizontal="left" vertical="center" wrapText="1" indent="1"/>
    </xf>
    <xf numFmtId="0" fontId="742" fillId="0" borderId="1" xfId="0" applyFont="1" applyBorder="1" applyAlignment="1">
      <alignment horizontal="left" vertical="center" wrapText="1" indent="1"/>
    </xf>
    <xf numFmtId="0" fontId="743" fillId="0" borderId="1" xfId="0" applyFont="1" applyBorder="1" applyAlignment="1">
      <alignment horizontal="left" vertical="center" wrapText="1" indent="1"/>
    </xf>
    <xf numFmtId="0" fontId="744" fillId="0" borderId="1" xfId="0" applyFont="1" applyBorder="1" applyAlignment="1">
      <alignment horizontal="left" vertical="center" wrapText="1" indent="1"/>
    </xf>
    <xf numFmtId="0" fontId="745" fillId="0" borderId="1" xfId="0" applyFont="1" applyBorder="1" applyAlignment="1">
      <alignment horizontal="left" vertical="center" wrapText="1" indent="1"/>
    </xf>
    <xf numFmtId="0" fontId="746" fillId="0" borderId="1" xfId="0" applyFont="1" applyBorder="1" applyAlignment="1">
      <alignment horizontal="left" vertical="center" wrapText="1" indent="1"/>
    </xf>
    <xf numFmtId="0" fontId="747" fillId="0" borderId="1" xfId="0" applyFont="1" applyBorder="1" applyAlignment="1">
      <alignment horizontal="left" vertical="center" wrapText="1" indent="1"/>
    </xf>
    <xf numFmtId="0" fontId="748" fillId="0" borderId="1" xfId="0" applyFont="1" applyBorder="1" applyAlignment="1">
      <alignment horizontal="left" vertical="center" wrapText="1" indent="1"/>
    </xf>
    <xf numFmtId="0" fontId="749" fillId="0" borderId="1" xfId="0" applyFont="1" applyBorder="1" applyAlignment="1">
      <alignment horizontal="left" vertical="center" wrapText="1" indent="1"/>
    </xf>
    <xf numFmtId="0" fontId="750" fillId="0" borderId="1" xfId="0" applyFont="1" applyBorder="1" applyAlignment="1">
      <alignment horizontal="left" vertical="center" wrapText="1" indent="1"/>
    </xf>
    <xf numFmtId="0" fontId="751" fillId="0" borderId="1" xfId="0" applyFont="1" applyBorder="1" applyAlignment="1">
      <alignment horizontal="left" vertical="center" wrapText="1" indent="1"/>
    </xf>
    <xf numFmtId="0" fontId="752" fillId="0" borderId="1" xfId="0" applyFont="1" applyBorder="1" applyAlignment="1">
      <alignment horizontal="left" vertical="center" wrapText="1" indent="1"/>
    </xf>
    <xf numFmtId="0" fontId="753" fillId="0" borderId="1" xfId="0" applyFont="1" applyBorder="1" applyAlignment="1">
      <alignment horizontal="left" vertical="center" wrapText="1" indent="1"/>
    </xf>
    <xf numFmtId="0" fontId="754" fillId="0" borderId="1" xfId="0" applyFont="1" applyBorder="1" applyAlignment="1">
      <alignment horizontal="left" vertical="center" wrapText="1" indent="1"/>
    </xf>
    <xf numFmtId="0" fontId="755" fillId="0" borderId="1" xfId="0" applyFont="1" applyBorder="1" applyAlignment="1">
      <alignment horizontal="left" vertical="center" wrapText="1" indent="1"/>
    </xf>
    <xf numFmtId="0" fontId="756" fillId="0" borderId="1" xfId="0" applyFont="1" applyBorder="1" applyAlignment="1">
      <alignment horizontal="left" vertical="center" wrapText="1" indent="1"/>
    </xf>
    <xf numFmtId="0" fontId="757" fillId="0" borderId="1" xfId="0" applyFont="1" applyBorder="1" applyAlignment="1">
      <alignment horizontal="left" vertical="center" wrapText="1" indent="1"/>
    </xf>
    <xf numFmtId="0" fontId="758" fillId="0" borderId="1" xfId="0" applyFont="1" applyBorder="1" applyAlignment="1">
      <alignment horizontal="left" vertical="center" wrapText="1" indent="1"/>
    </xf>
    <xf numFmtId="0" fontId="759" fillId="0" borderId="1" xfId="0" applyFont="1" applyBorder="1" applyAlignment="1">
      <alignment horizontal="left" vertical="center" wrapText="1" indent="1"/>
    </xf>
    <xf numFmtId="0" fontId="760" fillId="0" borderId="1" xfId="0" applyFont="1" applyBorder="1" applyAlignment="1">
      <alignment horizontal="left" vertical="center" wrapText="1" indent="1"/>
    </xf>
    <xf numFmtId="0" fontId="761" fillId="0" borderId="1" xfId="0" applyFont="1" applyBorder="1" applyAlignment="1">
      <alignment horizontal="left" vertical="center" wrapText="1" indent="1"/>
    </xf>
    <xf numFmtId="0" fontId="762" fillId="0" borderId="1" xfId="0" applyFont="1" applyBorder="1" applyAlignment="1">
      <alignment horizontal="left" vertical="center" wrapText="1" indent="1"/>
    </xf>
    <xf numFmtId="0" fontId="763" fillId="0" borderId="1" xfId="0" applyFont="1" applyBorder="1" applyAlignment="1">
      <alignment horizontal="left" vertical="center" wrapText="1" indent="1"/>
    </xf>
    <xf numFmtId="0" fontId="764" fillId="0" borderId="1" xfId="0" applyFont="1" applyBorder="1" applyAlignment="1">
      <alignment horizontal="left" vertical="center" wrapText="1" indent="1"/>
    </xf>
    <xf numFmtId="0" fontId="765" fillId="0" borderId="1" xfId="0" applyFont="1" applyBorder="1" applyAlignment="1">
      <alignment horizontal="left" vertical="center" wrapText="1" indent="1"/>
    </xf>
    <xf numFmtId="0" fontId="766" fillId="0" borderId="1" xfId="0" applyFont="1" applyBorder="1" applyAlignment="1">
      <alignment horizontal="left" vertical="center" wrapText="1" indent="1"/>
    </xf>
    <xf numFmtId="0" fontId="767" fillId="0" borderId="1" xfId="0" applyFont="1" applyBorder="1" applyAlignment="1">
      <alignment horizontal="left" vertical="center" wrapText="1" indent="1"/>
    </xf>
    <xf numFmtId="0" fontId="768" fillId="0" borderId="1" xfId="0" applyFont="1" applyBorder="1" applyAlignment="1">
      <alignment horizontal="left" vertical="center" wrapText="1" indent="1"/>
    </xf>
    <xf numFmtId="0" fontId="769" fillId="0" borderId="1" xfId="0" applyFont="1" applyBorder="1" applyAlignment="1">
      <alignment horizontal="left" vertical="center" wrapText="1" indent="1"/>
    </xf>
    <xf numFmtId="0" fontId="770" fillId="0" borderId="1" xfId="0" applyFont="1" applyBorder="1" applyAlignment="1">
      <alignment horizontal="left" vertical="center" wrapText="1" indent="1"/>
    </xf>
    <xf numFmtId="0" fontId="771" fillId="0" borderId="1" xfId="0" applyFont="1" applyBorder="1" applyAlignment="1">
      <alignment horizontal="left" vertical="center" wrapText="1" indent="1"/>
    </xf>
    <xf numFmtId="0" fontId="772" fillId="0" borderId="1" xfId="0" applyFont="1" applyBorder="1" applyAlignment="1">
      <alignment horizontal="left" vertical="center" wrapText="1" indent="1"/>
    </xf>
    <xf numFmtId="0" fontId="773" fillId="0" borderId="1" xfId="0" applyFont="1" applyBorder="1" applyAlignment="1">
      <alignment horizontal="left" vertical="center" wrapText="1" indent="1"/>
    </xf>
    <xf numFmtId="0" fontId="774" fillId="0" borderId="1" xfId="0" applyFont="1" applyBorder="1" applyAlignment="1">
      <alignment horizontal="left" vertical="center" wrapText="1" indent="1"/>
    </xf>
    <xf numFmtId="0" fontId="775" fillId="0" borderId="1" xfId="0" applyFont="1" applyBorder="1" applyAlignment="1">
      <alignment horizontal="left" vertical="center" wrapText="1" indent="1"/>
    </xf>
    <xf numFmtId="0" fontId="776" fillId="0" borderId="1" xfId="0" applyFont="1" applyBorder="1" applyAlignment="1">
      <alignment horizontal="left" vertical="center" wrapText="1" indent="1"/>
    </xf>
    <xf numFmtId="0" fontId="777" fillId="0" borderId="1" xfId="0" applyFont="1" applyBorder="1" applyAlignment="1">
      <alignment horizontal="left" vertical="center" wrapText="1" indent="1"/>
    </xf>
    <xf numFmtId="0" fontId="778" fillId="0" borderId="1" xfId="0" applyFont="1" applyBorder="1" applyAlignment="1">
      <alignment horizontal="left" vertical="center" wrapText="1" indent="1"/>
    </xf>
    <xf numFmtId="0" fontId="779" fillId="0" borderId="1" xfId="0" applyFont="1" applyBorder="1" applyAlignment="1">
      <alignment horizontal="left" vertical="center" wrapText="1" indent="1"/>
    </xf>
    <xf numFmtId="0" fontId="780" fillId="0" borderId="1" xfId="0" applyFont="1" applyBorder="1" applyAlignment="1">
      <alignment horizontal="left" vertical="center" wrapText="1" indent="1"/>
    </xf>
    <xf numFmtId="0" fontId="781" fillId="0" borderId="1" xfId="0" applyFont="1" applyBorder="1" applyAlignment="1">
      <alignment horizontal="left" vertical="center" wrapText="1" indent="1"/>
    </xf>
    <xf numFmtId="0" fontId="782" fillId="0" borderId="1" xfId="0" applyFont="1" applyBorder="1" applyAlignment="1">
      <alignment horizontal="left" vertical="center" wrapText="1" indent="1"/>
    </xf>
    <xf numFmtId="0" fontId="783" fillId="0" borderId="1" xfId="0" applyFont="1" applyBorder="1" applyAlignment="1">
      <alignment horizontal="left" vertical="center" wrapText="1" indent="1"/>
    </xf>
    <xf numFmtId="0" fontId="784" fillId="0" borderId="1" xfId="0" applyFont="1" applyBorder="1" applyAlignment="1">
      <alignment horizontal="left" vertical="center" wrapText="1" indent="1"/>
    </xf>
    <xf numFmtId="0" fontId="785" fillId="0" borderId="1" xfId="0" applyFont="1" applyBorder="1" applyAlignment="1">
      <alignment horizontal="left" vertical="center" wrapText="1" indent="1"/>
    </xf>
    <xf numFmtId="0" fontId="786" fillId="0" borderId="1" xfId="0" applyFont="1" applyBorder="1" applyAlignment="1">
      <alignment horizontal="left" vertical="center" wrapText="1" indent="1"/>
    </xf>
    <xf numFmtId="0" fontId="787" fillId="0" borderId="1" xfId="0" applyFont="1" applyBorder="1" applyAlignment="1">
      <alignment horizontal="left" vertical="center" wrapText="1" indent="1"/>
    </xf>
    <xf numFmtId="0" fontId="788" fillId="0" borderId="1" xfId="0" applyFont="1" applyBorder="1" applyAlignment="1">
      <alignment horizontal="left" vertical="center" wrapText="1" indent="1"/>
    </xf>
    <xf numFmtId="0" fontId="789" fillId="0" borderId="1" xfId="0" applyFont="1" applyBorder="1" applyAlignment="1">
      <alignment horizontal="left" vertical="center" wrapText="1" indent="1"/>
    </xf>
    <xf numFmtId="0" fontId="790" fillId="0" borderId="1" xfId="0" applyFont="1" applyBorder="1" applyAlignment="1">
      <alignment horizontal="left" vertical="center" wrapText="1" indent="1"/>
    </xf>
    <xf numFmtId="0" fontId="791" fillId="0" borderId="1" xfId="0" applyFont="1" applyBorder="1" applyAlignment="1">
      <alignment horizontal="left" vertical="center" wrapText="1" indent="1"/>
    </xf>
    <xf numFmtId="0" fontId="792" fillId="0" borderId="1" xfId="0" applyFont="1" applyBorder="1" applyAlignment="1">
      <alignment horizontal="left" vertical="center" wrapText="1" indent="1"/>
    </xf>
    <xf numFmtId="0" fontId="793" fillId="0" borderId="1" xfId="0" applyFont="1" applyBorder="1" applyAlignment="1">
      <alignment horizontal="left" vertical="center" wrapText="1" indent="1"/>
    </xf>
    <xf numFmtId="0" fontId="794" fillId="0" borderId="1" xfId="0" applyFont="1" applyBorder="1" applyAlignment="1">
      <alignment horizontal="left" vertical="center" wrapText="1" indent="1"/>
    </xf>
    <xf numFmtId="0" fontId="795" fillId="0" borderId="1" xfId="0" applyFont="1" applyBorder="1" applyAlignment="1">
      <alignment horizontal="left" vertical="center" wrapText="1" indent="1"/>
    </xf>
    <xf numFmtId="0" fontId="796" fillId="0" borderId="1" xfId="0" applyFont="1" applyBorder="1" applyAlignment="1">
      <alignment horizontal="left" vertical="center" wrapText="1" indent="1"/>
    </xf>
    <xf numFmtId="0" fontId="797" fillId="0" borderId="1" xfId="0" applyFont="1" applyBorder="1" applyAlignment="1">
      <alignment horizontal="left" vertical="center" wrapText="1" indent="1"/>
    </xf>
    <xf numFmtId="0" fontId="798" fillId="0" borderId="1" xfId="0" applyFont="1" applyBorder="1" applyAlignment="1">
      <alignment horizontal="left" vertical="center" wrapText="1" indent="1"/>
    </xf>
    <xf numFmtId="0" fontId="799" fillId="0" borderId="1" xfId="0" applyFont="1" applyBorder="1" applyAlignment="1">
      <alignment horizontal="left" vertical="center" wrapText="1" indent="1"/>
    </xf>
    <xf numFmtId="0" fontId="800" fillId="0" borderId="1" xfId="0" applyFont="1" applyBorder="1" applyAlignment="1">
      <alignment horizontal="left" vertical="center" wrapText="1" indent="1"/>
    </xf>
    <xf numFmtId="0" fontId="801" fillId="0" borderId="1" xfId="0" applyFont="1" applyBorder="1" applyAlignment="1">
      <alignment horizontal="left" vertical="center" wrapText="1" indent="1"/>
    </xf>
    <xf numFmtId="0" fontId="802" fillId="0" borderId="1" xfId="0" applyFont="1" applyBorder="1" applyAlignment="1">
      <alignment horizontal="left" vertical="center" wrapText="1" indent="1"/>
    </xf>
    <xf numFmtId="0" fontId="803" fillId="0" borderId="1" xfId="0" applyFont="1" applyBorder="1" applyAlignment="1">
      <alignment horizontal="left" vertical="center" wrapText="1" indent="1"/>
    </xf>
    <xf numFmtId="0" fontId="804" fillId="0" borderId="1" xfId="0" applyFont="1" applyBorder="1" applyAlignment="1">
      <alignment horizontal="left" vertical="center" wrapText="1" indent="1"/>
    </xf>
    <xf numFmtId="0" fontId="805" fillId="0" borderId="1" xfId="0" applyFont="1" applyBorder="1" applyAlignment="1">
      <alignment horizontal="left" vertical="center" wrapText="1" indent="1"/>
    </xf>
    <xf numFmtId="0" fontId="806" fillId="0" borderId="1" xfId="0" applyFont="1" applyBorder="1" applyAlignment="1">
      <alignment horizontal="left" vertical="center" wrapText="1" indent="1"/>
    </xf>
    <xf numFmtId="0" fontId="807" fillId="0" borderId="1" xfId="0" applyFont="1" applyBorder="1" applyAlignment="1">
      <alignment horizontal="left" vertical="center" wrapText="1" indent="1"/>
    </xf>
    <xf numFmtId="0" fontId="808" fillId="0" borderId="1" xfId="0" applyFont="1" applyBorder="1" applyAlignment="1">
      <alignment horizontal="left" vertical="center" wrapText="1" indent="1"/>
    </xf>
    <xf numFmtId="0" fontId="809" fillId="0" borderId="1" xfId="0" applyFont="1" applyBorder="1" applyAlignment="1">
      <alignment horizontal="left" vertical="center" wrapText="1" indent="1"/>
    </xf>
    <xf numFmtId="0" fontId="810" fillId="0" borderId="1" xfId="0" applyFont="1" applyBorder="1" applyAlignment="1">
      <alignment horizontal="left" vertical="center" wrapText="1" indent="1"/>
    </xf>
    <xf numFmtId="0" fontId="811" fillId="0" borderId="1" xfId="0" applyFont="1" applyBorder="1" applyAlignment="1">
      <alignment horizontal="left" vertical="center" wrapText="1" indent="1"/>
    </xf>
    <xf numFmtId="0" fontId="812" fillId="0" borderId="1" xfId="0" applyFont="1" applyBorder="1" applyAlignment="1">
      <alignment horizontal="left" vertical="center" wrapText="1" indent="1"/>
    </xf>
    <xf numFmtId="0" fontId="813" fillId="0" borderId="1" xfId="0" applyFont="1" applyBorder="1" applyAlignment="1">
      <alignment horizontal="left" vertical="center" wrapText="1" indent="1"/>
    </xf>
    <xf numFmtId="0" fontId="814" fillId="0" borderId="1" xfId="0" applyFont="1" applyBorder="1" applyAlignment="1">
      <alignment horizontal="left" vertical="center" wrapText="1" indent="1"/>
    </xf>
    <xf numFmtId="0" fontId="815" fillId="0" borderId="1" xfId="0" applyFont="1" applyBorder="1" applyAlignment="1">
      <alignment horizontal="left" vertical="center" wrapText="1" indent="1"/>
    </xf>
    <xf numFmtId="0" fontId="816" fillId="0" borderId="1" xfId="0" applyFont="1" applyBorder="1" applyAlignment="1">
      <alignment horizontal="left" vertical="center" wrapText="1" indent="1"/>
    </xf>
    <xf numFmtId="0" fontId="817" fillId="0" borderId="1" xfId="0" applyFont="1" applyBorder="1" applyAlignment="1">
      <alignment horizontal="left" vertical="center" wrapText="1" indent="1"/>
    </xf>
    <xf numFmtId="0" fontId="818" fillId="0" borderId="1" xfId="0" applyFont="1" applyBorder="1" applyAlignment="1">
      <alignment horizontal="left" vertical="center" wrapText="1" indent="1"/>
    </xf>
    <xf numFmtId="0" fontId="819" fillId="0" borderId="1" xfId="0" applyFont="1" applyBorder="1" applyAlignment="1">
      <alignment horizontal="left" vertical="center" wrapText="1" indent="1"/>
    </xf>
    <xf numFmtId="0" fontId="820" fillId="0" borderId="1" xfId="0" applyFont="1" applyBorder="1" applyAlignment="1">
      <alignment horizontal="left" vertical="center" wrapText="1" indent="1"/>
    </xf>
    <xf numFmtId="0" fontId="821" fillId="0" borderId="1" xfId="0" applyFont="1" applyBorder="1" applyAlignment="1">
      <alignment horizontal="left" vertical="center" wrapText="1" indent="1"/>
    </xf>
    <xf numFmtId="0" fontId="822" fillId="0" borderId="1" xfId="0" applyFont="1" applyBorder="1" applyAlignment="1">
      <alignment horizontal="left" vertical="center" wrapText="1" indent="1"/>
    </xf>
    <xf numFmtId="0" fontId="823" fillId="0" borderId="1" xfId="0" applyFont="1" applyBorder="1" applyAlignment="1">
      <alignment horizontal="left" vertical="center" wrapText="1" indent="1"/>
    </xf>
    <xf numFmtId="0" fontId="824" fillId="0" borderId="1" xfId="0" applyFont="1" applyBorder="1" applyAlignment="1">
      <alignment horizontal="left" vertical="center" wrapText="1" indent="1"/>
    </xf>
    <xf numFmtId="0" fontId="825" fillId="0" borderId="1" xfId="0" applyFont="1" applyBorder="1" applyAlignment="1">
      <alignment horizontal="left" vertical="center" wrapText="1" indent="1"/>
    </xf>
    <xf numFmtId="0" fontId="826" fillId="0" borderId="1" xfId="0" applyFont="1" applyBorder="1" applyAlignment="1">
      <alignment horizontal="left" vertical="center" wrapText="1" indent="1"/>
    </xf>
    <xf numFmtId="0" fontId="827" fillId="0" borderId="1" xfId="0" applyFont="1" applyBorder="1" applyAlignment="1">
      <alignment horizontal="left" vertical="center" wrapText="1" indent="1"/>
    </xf>
    <xf numFmtId="0" fontId="828" fillId="0" borderId="1" xfId="0" applyFont="1" applyBorder="1" applyAlignment="1">
      <alignment horizontal="left" vertical="center" wrapText="1" indent="1"/>
    </xf>
    <xf numFmtId="0" fontId="829" fillId="0" borderId="1" xfId="0" applyFont="1" applyBorder="1" applyAlignment="1">
      <alignment horizontal="left" vertical="center" wrapText="1" indent="1"/>
    </xf>
    <xf numFmtId="0" fontId="830" fillId="0" borderId="1" xfId="0" applyFont="1" applyBorder="1" applyAlignment="1">
      <alignment horizontal="left" vertical="center" wrapText="1" indent="1"/>
    </xf>
    <xf numFmtId="0" fontId="831" fillId="0" borderId="1" xfId="0" applyFont="1" applyBorder="1" applyAlignment="1">
      <alignment horizontal="left" vertical="center" wrapText="1" indent="1"/>
    </xf>
    <xf numFmtId="0" fontId="832" fillId="0" borderId="1" xfId="0" applyFont="1" applyBorder="1" applyAlignment="1">
      <alignment horizontal="left" vertical="center" wrapText="1" indent="1"/>
    </xf>
    <xf numFmtId="0" fontId="833" fillId="0" borderId="1" xfId="0" applyFont="1" applyBorder="1" applyAlignment="1">
      <alignment horizontal="left" vertical="center" wrapText="1" indent="1"/>
    </xf>
    <xf numFmtId="0" fontId="834" fillId="0" borderId="1" xfId="0" applyFont="1" applyBorder="1" applyAlignment="1">
      <alignment horizontal="left" vertical="center" wrapText="1" indent="1"/>
    </xf>
    <xf numFmtId="0" fontId="835" fillId="0" borderId="1" xfId="0" applyFont="1" applyBorder="1" applyAlignment="1">
      <alignment horizontal="left" vertical="center" wrapText="1" indent="1"/>
    </xf>
    <xf numFmtId="0" fontId="836" fillId="0" borderId="1" xfId="0" applyFont="1" applyBorder="1" applyAlignment="1">
      <alignment horizontal="left" vertical="center" wrapText="1" indent="1"/>
    </xf>
    <xf numFmtId="0" fontId="837" fillId="0" borderId="1" xfId="0" applyFont="1" applyBorder="1" applyAlignment="1">
      <alignment horizontal="left" vertical="center" wrapText="1" indent="1"/>
    </xf>
    <xf numFmtId="0" fontId="838" fillId="0" borderId="1" xfId="0" applyFont="1" applyBorder="1" applyAlignment="1">
      <alignment horizontal="left" vertical="center" wrapText="1" indent="1"/>
    </xf>
    <xf numFmtId="0" fontId="839" fillId="0" borderId="1" xfId="0" applyFont="1" applyBorder="1" applyAlignment="1">
      <alignment horizontal="left" vertical="center" wrapText="1" indent="1"/>
    </xf>
    <xf numFmtId="0" fontId="840" fillId="0" borderId="1" xfId="0" applyFont="1" applyBorder="1" applyAlignment="1">
      <alignment horizontal="left" vertical="center" wrapText="1" indent="1"/>
    </xf>
    <xf numFmtId="0" fontId="841" fillId="0" borderId="1" xfId="0" applyFont="1" applyBorder="1" applyAlignment="1">
      <alignment horizontal="left" vertical="center" wrapText="1" indent="1"/>
    </xf>
    <xf numFmtId="0" fontId="842" fillId="0" borderId="1" xfId="0" applyFont="1" applyBorder="1" applyAlignment="1">
      <alignment horizontal="left" vertical="center" wrapText="1" indent="1"/>
    </xf>
    <xf numFmtId="0" fontId="843" fillId="0" borderId="1" xfId="0" applyFont="1" applyBorder="1" applyAlignment="1">
      <alignment horizontal="left" vertical="center" wrapText="1" indent="1"/>
    </xf>
    <xf numFmtId="0" fontId="844" fillId="0" borderId="1" xfId="0" applyFont="1" applyBorder="1" applyAlignment="1">
      <alignment horizontal="left" vertical="center" wrapText="1" indent="1"/>
    </xf>
    <xf numFmtId="0" fontId="845" fillId="0" borderId="1" xfId="0" applyFont="1" applyBorder="1" applyAlignment="1">
      <alignment horizontal="left" vertical="center" wrapText="1" indent="1"/>
    </xf>
    <xf numFmtId="0" fontId="846" fillId="0" borderId="1" xfId="0" applyFont="1" applyBorder="1" applyAlignment="1">
      <alignment horizontal="left" vertical="center" wrapText="1" indent="1"/>
    </xf>
    <xf numFmtId="0" fontId="847" fillId="0" borderId="1" xfId="0" applyFont="1" applyBorder="1" applyAlignment="1">
      <alignment horizontal="left" vertical="center" wrapText="1" indent="1"/>
    </xf>
    <xf numFmtId="0" fontId="848" fillId="0" borderId="1" xfId="0" applyFont="1" applyBorder="1" applyAlignment="1">
      <alignment horizontal="left" vertical="center" wrapText="1" indent="1"/>
    </xf>
    <xf numFmtId="0" fontId="849" fillId="0" borderId="1" xfId="0" applyFont="1" applyBorder="1" applyAlignment="1">
      <alignment horizontal="left" vertical="center" wrapText="1" indent="1"/>
    </xf>
    <xf numFmtId="0" fontId="850" fillId="0" borderId="1" xfId="0" applyFont="1" applyBorder="1" applyAlignment="1">
      <alignment horizontal="left" vertical="center" wrapText="1" indent="1"/>
    </xf>
    <xf numFmtId="0" fontId="851" fillId="0" borderId="1" xfId="0" applyFont="1" applyBorder="1" applyAlignment="1">
      <alignment horizontal="left" vertical="center" wrapText="1" indent="1"/>
    </xf>
    <xf numFmtId="0" fontId="852" fillId="0" borderId="1" xfId="0" applyFont="1" applyBorder="1" applyAlignment="1">
      <alignment horizontal="left" vertical="center" wrapText="1" indent="1"/>
    </xf>
    <xf numFmtId="0" fontId="853" fillId="0" borderId="1" xfId="0" applyFont="1" applyBorder="1" applyAlignment="1">
      <alignment horizontal="left" vertical="center" wrapText="1" indent="1"/>
    </xf>
    <xf numFmtId="0" fontId="854" fillId="0" borderId="1" xfId="0" applyFont="1" applyBorder="1" applyAlignment="1">
      <alignment horizontal="left" vertical="center" wrapText="1" indent="1"/>
    </xf>
    <xf numFmtId="0" fontId="855" fillId="0" borderId="1" xfId="0" applyFont="1" applyBorder="1" applyAlignment="1">
      <alignment horizontal="left" vertical="center" wrapText="1" indent="1"/>
    </xf>
    <xf numFmtId="0" fontId="856" fillId="0" borderId="1" xfId="0" applyFont="1" applyBorder="1" applyAlignment="1">
      <alignment horizontal="left" vertical="center" wrapText="1" indent="1"/>
    </xf>
    <xf numFmtId="0" fontId="857" fillId="0" borderId="1" xfId="0" applyFont="1" applyBorder="1" applyAlignment="1">
      <alignment horizontal="left" vertical="center" wrapText="1" indent="1"/>
    </xf>
    <xf numFmtId="0" fontId="858" fillId="0" borderId="1" xfId="0" applyFont="1" applyBorder="1" applyAlignment="1">
      <alignment horizontal="left" vertical="center" wrapText="1" indent="1"/>
    </xf>
    <xf numFmtId="0" fontId="859" fillId="0" borderId="1" xfId="0" applyFont="1" applyBorder="1" applyAlignment="1">
      <alignment horizontal="left" vertical="center" wrapText="1" indent="1"/>
    </xf>
    <xf numFmtId="0" fontId="860" fillId="0" borderId="1" xfId="0" applyFont="1" applyBorder="1" applyAlignment="1">
      <alignment horizontal="left" vertical="center" wrapText="1" indent="1"/>
    </xf>
    <xf numFmtId="0" fontId="861" fillId="0" borderId="1" xfId="0" applyFont="1" applyBorder="1" applyAlignment="1">
      <alignment horizontal="left" vertical="center" wrapText="1" indent="1"/>
    </xf>
    <xf numFmtId="0" fontId="862" fillId="0" borderId="1" xfId="0" applyFont="1" applyBorder="1" applyAlignment="1">
      <alignment horizontal="left" vertical="center" wrapText="1" indent="1"/>
    </xf>
    <xf numFmtId="0" fontId="863" fillId="0" borderId="1" xfId="0" applyFont="1" applyBorder="1" applyAlignment="1">
      <alignment horizontal="left" vertical="center" wrapText="1" indent="1"/>
    </xf>
    <xf numFmtId="0" fontId="864" fillId="0" borderId="1" xfId="0" applyFont="1" applyBorder="1" applyAlignment="1">
      <alignment horizontal="left" vertical="center" wrapText="1" indent="1"/>
    </xf>
    <xf numFmtId="0" fontId="865" fillId="0" borderId="1" xfId="0" applyFont="1" applyBorder="1" applyAlignment="1">
      <alignment horizontal="left" vertical="center" wrapText="1" indent="1"/>
    </xf>
    <xf numFmtId="0" fontId="866" fillId="0" borderId="1" xfId="0" applyFont="1" applyBorder="1" applyAlignment="1">
      <alignment horizontal="left" vertical="center" wrapText="1" indent="1"/>
    </xf>
    <xf numFmtId="0" fontId="867" fillId="0" borderId="1" xfId="0" applyFont="1" applyBorder="1" applyAlignment="1">
      <alignment horizontal="left" vertical="center" wrapText="1" indent="1"/>
    </xf>
    <xf numFmtId="0" fontId="868" fillId="0" borderId="1" xfId="0" applyFont="1" applyBorder="1" applyAlignment="1">
      <alignment horizontal="left" vertical="center" wrapText="1" indent="1"/>
    </xf>
    <xf numFmtId="0" fontId="869" fillId="0" borderId="1" xfId="0" applyFont="1" applyBorder="1" applyAlignment="1">
      <alignment horizontal="left" vertical="center" wrapText="1" indent="1"/>
    </xf>
    <xf numFmtId="0" fontId="870" fillId="0" borderId="1" xfId="0" applyFont="1" applyBorder="1" applyAlignment="1">
      <alignment horizontal="left" vertical="center" wrapText="1" indent="1"/>
    </xf>
    <xf numFmtId="0" fontId="871" fillId="0" borderId="1" xfId="0" applyFont="1" applyBorder="1" applyAlignment="1">
      <alignment horizontal="left" vertical="center" wrapText="1" indent="1"/>
    </xf>
    <xf numFmtId="0" fontId="872" fillId="0" borderId="1" xfId="0" applyFont="1" applyBorder="1" applyAlignment="1">
      <alignment horizontal="left" vertical="center" wrapText="1" indent="1"/>
    </xf>
    <xf numFmtId="0" fontId="873" fillId="0" borderId="1" xfId="0" applyFont="1" applyBorder="1" applyAlignment="1">
      <alignment horizontal="left" vertical="center" wrapText="1" indent="1"/>
    </xf>
    <xf numFmtId="0" fontId="874" fillId="0" borderId="1" xfId="0" applyFont="1" applyBorder="1" applyAlignment="1">
      <alignment horizontal="left" vertical="center" wrapText="1" indent="1"/>
    </xf>
    <xf numFmtId="0" fontId="875" fillId="0" borderId="1" xfId="0" applyFont="1" applyBorder="1" applyAlignment="1">
      <alignment horizontal="left" vertical="center" wrapText="1" indent="1"/>
    </xf>
    <xf numFmtId="0" fontId="876" fillId="0" borderId="1" xfId="0" applyFont="1" applyBorder="1" applyAlignment="1">
      <alignment horizontal="left" vertical="center" wrapText="1" indent="1"/>
    </xf>
    <xf numFmtId="0" fontId="877" fillId="0" borderId="1" xfId="0" applyFont="1" applyBorder="1" applyAlignment="1">
      <alignment horizontal="left" vertical="center" wrapText="1" indent="1"/>
    </xf>
    <xf numFmtId="0" fontId="878" fillId="0" borderId="1" xfId="0" applyFont="1" applyBorder="1" applyAlignment="1">
      <alignment horizontal="left" vertical="center" wrapText="1" indent="1"/>
    </xf>
    <xf numFmtId="0" fontId="879" fillId="0" borderId="1" xfId="0" applyFont="1" applyBorder="1" applyAlignment="1">
      <alignment horizontal="left" vertical="center" wrapText="1" indent="1"/>
    </xf>
    <xf numFmtId="0" fontId="880" fillId="0" borderId="1" xfId="0" applyFont="1" applyBorder="1" applyAlignment="1">
      <alignment horizontal="left" vertical="center" wrapText="1" indent="1"/>
    </xf>
    <xf numFmtId="0" fontId="881" fillId="0" borderId="1" xfId="0" applyFont="1" applyBorder="1" applyAlignment="1">
      <alignment horizontal="left" vertical="center" wrapText="1" indent="1"/>
    </xf>
    <xf numFmtId="0" fontId="882" fillId="0" borderId="1" xfId="0" applyFont="1" applyBorder="1" applyAlignment="1">
      <alignment horizontal="left" vertical="center" wrapText="1" indent="1"/>
    </xf>
    <xf numFmtId="0" fontId="883" fillId="0" borderId="1" xfId="0" applyFont="1" applyBorder="1" applyAlignment="1">
      <alignment horizontal="left" vertical="center" wrapText="1" indent="1"/>
    </xf>
    <xf numFmtId="0" fontId="884" fillId="0" borderId="1" xfId="0" applyFont="1" applyBorder="1" applyAlignment="1">
      <alignment horizontal="left" vertical="center" wrapText="1" indent="1"/>
    </xf>
    <xf numFmtId="0" fontId="885" fillId="0" borderId="1" xfId="0" applyFont="1" applyBorder="1" applyAlignment="1">
      <alignment horizontal="left" vertical="center" wrapText="1" indent="1"/>
    </xf>
    <xf numFmtId="0" fontId="886" fillId="0" borderId="1" xfId="0" applyFont="1" applyBorder="1" applyAlignment="1">
      <alignment horizontal="left" vertical="center" wrapText="1" indent="1"/>
    </xf>
    <xf numFmtId="0" fontId="887" fillId="0" borderId="1" xfId="0" applyFont="1" applyBorder="1" applyAlignment="1">
      <alignment horizontal="left" vertical="center" wrapText="1" indent="1"/>
    </xf>
    <xf numFmtId="0" fontId="888" fillId="0" borderId="1" xfId="0" applyFont="1" applyBorder="1" applyAlignment="1">
      <alignment horizontal="left" vertical="center" wrapText="1" indent="1"/>
    </xf>
    <xf numFmtId="0" fontId="889" fillId="0" borderId="1" xfId="0" applyFont="1" applyBorder="1" applyAlignment="1">
      <alignment horizontal="left" vertical="center" wrapText="1" indent="1"/>
    </xf>
    <xf numFmtId="0" fontId="890" fillId="0" borderId="1" xfId="0" applyFont="1" applyBorder="1" applyAlignment="1">
      <alignment horizontal="left" vertical="center" wrapText="1" indent="1"/>
    </xf>
    <xf numFmtId="0" fontId="891" fillId="0" borderId="1" xfId="0" applyFont="1" applyBorder="1" applyAlignment="1">
      <alignment horizontal="left" vertical="center" wrapText="1" indent="1"/>
    </xf>
    <xf numFmtId="0" fontId="892" fillId="0" borderId="1" xfId="0" applyFont="1" applyBorder="1" applyAlignment="1">
      <alignment horizontal="left" vertical="center" wrapText="1" indent="1"/>
    </xf>
    <xf numFmtId="0" fontId="893" fillId="0" borderId="1" xfId="0" applyFont="1" applyBorder="1" applyAlignment="1">
      <alignment horizontal="left" vertical="center" wrapText="1" indent="1"/>
    </xf>
    <xf numFmtId="0" fontId="894" fillId="0" borderId="1" xfId="0" applyFont="1" applyBorder="1" applyAlignment="1">
      <alignment horizontal="left" vertical="center" wrapText="1" indent="1"/>
    </xf>
    <xf numFmtId="0" fontId="895" fillId="0" borderId="1" xfId="0" applyFont="1" applyBorder="1" applyAlignment="1">
      <alignment horizontal="left" vertical="center" wrapText="1" indent="1"/>
    </xf>
    <xf numFmtId="0" fontId="896" fillId="0" borderId="1" xfId="0" applyFont="1" applyBorder="1" applyAlignment="1">
      <alignment horizontal="left" vertical="center" wrapText="1" indent="1"/>
    </xf>
    <xf numFmtId="0" fontId="897" fillId="0" borderId="1" xfId="0" applyFont="1" applyBorder="1" applyAlignment="1">
      <alignment horizontal="left" vertical="center" wrapText="1" indent="1"/>
    </xf>
    <xf numFmtId="0" fontId="898" fillId="0" borderId="1" xfId="0" applyFont="1" applyBorder="1" applyAlignment="1">
      <alignment horizontal="left" vertical="center" wrapText="1" indent="1"/>
    </xf>
    <xf numFmtId="0" fontId="899" fillId="0" borderId="1" xfId="0" applyFont="1" applyBorder="1" applyAlignment="1">
      <alignment horizontal="left" vertical="center" wrapText="1" indent="1"/>
    </xf>
    <xf numFmtId="0" fontId="900" fillId="0" borderId="1" xfId="0" applyFont="1" applyBorder="1" applyAlignment="1">
      <alignment horizontal="left" vertical="center" wrapText="1" indent="1"/>
    </xf>
    <xf numFmtId="0" fontId="901" fillId="0" borderId="1" xfId="0" applyFont="1" applyBorder="1" applyAlignment="1">
      <alignment horizontal="left" vertical="center" wrapText="1" indent="1"/>
    </xf>
    <xf numFmtId="0" fontId="902" fillId="0" borderId="1" xfId="0" applyFont="1" applyBorder="1" applyAlignment="1">
      <alignment horizontal="left" vertical="center" wrapText="1" indent="1"/>
    </xf>
    <xf numFmtId="0" fontId="903" fillId="0" borderId="1" xfId="0" applyFont="1" applyBorder="1" applyAlignment="1">
      <alignment horizontal="left" vertical="center" wrapText="1" indent="1"/>
    </xf>
    <xf numFmtId="0" fontId="904" fillId="0" borderId="1" xfId="0" applyFont="1" applyBorder="1" applyAlignment="1">
      <alignment horizontal="left" vertical="center" wrapText="1" indent="1"/>
    </xf>
    <xf numFmtId="0" fontId="905" fillId="0" borderId="1" xfId="0" applyFont="1" applyBorder="1" applyAlignment="1">
      <alignment horizontal="left" vertical="center" wrapText="1" indent="1"/>
    </xf>
    <xf numFmtId="0" fontId="906" fillId="0" borderId="1" xfId="0" applyFont="1" applyBorder="1" applyAlignment="1">
      <alignment horizontal="left" vertical="center" wrapText="1" indent="1"/>
    </xf>
    <xf numFmtId="0" fontId="907" fillId="0" borderId="1" xfId="0" applyFont="1" applyBorder="1" applyAlignment="1">
      <alignment horizontal="left" vertical="center" wrapText="1" indent="1"/>
    </xf>
    <xf numFmtId="0" fontId="908" fillId="0" borderId="1" xfId="0" applyFont="1" applyBorder="1" applyAlignment="1">
      <alignment horizontal="left" vertical="center" wrapText="1" indent="1"/>
    </xf>
    <xf numFmtId="0" fontId="909" fillId="0" borderId="1" xfId="0" applyFont="1" applyBorder="1" applyAlignment="1">
      <alignment horizontal="left" vertical="center" wrapText="1" indent="1"/>
    </xf>
    <xf numFmtId="0" fontId="910" fillId="0" borderId="1" xfId="0" applyFont="1" applyBorder="1" applyAlignment="1">
      <alignment horizontal="left" vertical="center" wrapText="1" indent="1"/>
    </xf>
    <xf numFmtId="0" fontId="911" fillId="0" borderId="1" xfId="0" applyFont="1" applyBorder="1" applyAlignment="1">
      <alignment horizontal="left" vertical="center" wrapText="1" indent="1"/>
    </xf>
    <xf numFmtId="0" fontId="912" fillId="0" borderId="1" xfId="0" applyFont="1" applyBorder="1" applyAlignment="1">
      <alignment horizontal="left" vertical="center" wrapText="1" indent="1"/>
    </xf>
    <xf numFmtId="0" fontId="913" fillId="0" borderId="1" xfId="0" applyFont="1" applyBorder="1" applyAlignment="1">
      <alignment horizontal="left" vertical="center" wrapText="1" indent="1"/>
    </xf>
    <xf numFmtId="0" fontId="914" fillId="0" borderId="1" xfId="0" applyFont="1" applyBorder="1" applyAlignment="1">
      <alignment horizontal="left" vertical="center" wrapText="1" indent="1"/>
    </xf>
    <xf numFmtId="0" fontId="915" fillId="0" borderId="1" xfId="0" applyFont="1" applyBorder="1" applyAlignment="1">
      <alignment horizontal="left" vertical="center" wrapText="1" indent="1"/>
    </xf>
    <xf numFmtId="0" fontId="916" fillId="0" borderId="1" xfId="0" applyFont="1" applyBorder="1" applyAlignment="1">
      <alignment horizontal="left" vertical="center" wrapText="1" indent="1"/>
    </xf>
    <xf numFmtId="0" fontId="917" fillId="0" borderId="1" xfId="0" applyFont="1" applyBorder="1" applyAlignment="1">
      <alignment horizontal="left" vertical="center" wrapText="1" indent="1"/>
    </xf>
    <xf numFmtId="0" fontId="918" fillId="0" borderId="1" xfId="0" applyFont="1" applyBorder="1" applyAlignment="1">
      <alignment horizontal="left" vertical="center" wrapText="1" indent="1"/>
    </xf>
    <xf numFmtId="0" fontId="919" fillId="0" borderId="1" xfId="0" applyFont="1" applyBorder="1" applyAlignment="1">
      <alignment horizontal="left" vertical="center" wrapText="1" indent="1"/>
    </xf>
    <xf numFmtId="0" fontId="920" fillId="0" borderId="1" xfId="0" applyFont="1" applyBorder="1" applyAlignment="1">
      <alignment horizontal="left" vertical="center" wrapText="1" indent="1"/>
    </xf>
    <xf numFmtId="0" fontId="921" fillId="0" borderId="1" xfId="0" applyFont="1" applyBorder="1" applyAlignment="1">
      <alignment horizontal="left" vertical="center" wrapText="1" indent="1"/>
    </xf>
    <xf numFmtId="0" fontId="922" fillId="0" borderId="1" xfId="0" applyFont="1" applyBorder="1" applyAlignment="1">
      <alignment horizontal="left" vertical="center" wrapText="1" indent="1"/>
    </xf>
    <xf numFmtId="0" fontId="923" fillId="0" borderId="1" xfId="0" applyFont="1" applyBorder="1" applyAlignment="1">
      <alignment horizontal="left" vertical="center" wrapText="1" indent="1"/>
    </xf>
    <xf numFmtId="0" fontId="924" fillId="0" borderId="1" xfId="0" applyFont="1" applyBorder="1" applyAlignment="1">
      <alignment horizontal="left" vertical="center" wrapText="1" indent="1"/>
    </xf>
    <xf numFmtId="0" fontId="925" fillId="0" borderId="1" xfId="0" applyFont="1" applyBorder="1" applyAlignment="1">
      <alignment horizontal="left" vertical="center" wrapText="1" indent="1"/>
    </xf>
    <xf numFmtId="0" fontId="926" fillId="0" borderId="1" xfId="0" applyFont="1" applyBorder="1" applyAlignment="1">
      <alignment horizontal="left" vertical="center" wrapText="1" indent="1"/>
    </xf>
    <xf numFmtId="0" fontId="927" fillId="0" borderId="1" xfId="0" applyFont="1" applyBorder="1" applyAlignment="1">
      <alignment horizontal="left" vertical="center" wrapText="1" indent="1"/>
    </xf>
    <xf numFmtId="0" fontId="928" fillId="0" borderId="1" xfId="0" applyFont="1" applyBorder="1" applyAlignment="1">
      <alignment horizontal="left" vertical="center" wrapText="1" indent="1"/>
    </xf>
    <xf numFmtId="0" fontId="929" fillId="0" borderId="1" xfId="0" applyFont="1" applyBorder="1" applyAlignment="1">
      <alignment horizontal="left" vertical="center" wrapText="1" indent="1"/>
    </xf>
    <xf numFmtId="0" fontId="930" fillId="0" borderId="1" xfId="0" applyFont="1" applyBorder="1" applyAlignment="1">
      <alignment horizontal="left" vertical="center" wrapText="1" indent="1"/>
    </xf>
    <xf numFmtId="0" fontId="931" fillId="0" borderId="1" xfId="0" applyFont="1" applyBorder="1" applyAlignment="1">
      <alignment horizontal="left" vertical="center" wrapText="1" indent="1"/>
    </xf>
    <xf numFmtId="0" fontId="932" fillId="0" borderId="1" xfId="0" applyFont="1" applyBorder="1" applyAlignment="1">
      <alignment horizontal="left" vertical="center" wrapText="1" indent="1"/>
    </xf>
    <xf numFmtId="0" fontId="933" fillId="0" borderId="1" xfId="0" applyFont="1" applyBorder="1" applyAlignment="1">
      <alignment horizontal="left" vertical="center" wrapText="1" indent="1"/>
    </xf>
    <xf numFmtId="0" fontId="934" fillId="0" borderId="1" xfId="0" applyFont="1" applyBorder="1" applyAlignment="1">
      <alignment horizontal="left" vertical="center" wrapText="1" indent="1"/>
    </xf>
    <xf numFmtId="0" fontId="935" fillId="0" borderId="1" xfId="0" applyFont="1" applyBorder="1" applyAlignment="1">
      <alignment horizontal="left" vertical="center" wrapText="1" indent="1"/>
    </xf>
    <xf numFmtId="0" fontId="936" fillId="0" borderId="1" xfId="0" applyFont="1" applyBorder="1" applyAlignment="1">
      <alignment horizontal="left" vertical="center" wrapText="1" indent="1"/>
    </xf>
    <xf numFmtId="0" fontId="937" fillId="0" borderId="1" xfId="0" applyFont="1" applyBorder="1" applyAlignment="1">
      <alignment horizontal="left" vertical="center" wrapText="1" indent="1"/>
    </xf>
    <xf numFmtId="0" fontId="938" fillId="0" borderId="1" xfId="0" applyFont="1" applyBorder="1" applyAlignment="1">
      <alignment horizontal="left" vertical="center" wrapText="1" indent="1"/>
    </xf>
    <xf numFmtId="0" fontId="939" fillId="0" borderId="1" xfId="0" applyFont="1" applyBorder="1" applyAlignment="1">
      <alignment horizontal="left" vertical="center" wrapText="1" indent="1"/>
    </xf>
    <xf numFmtId="0" fontId="940" fillId="0" borderId="1" xfId="0" applyFont="1" applyBorder="1" applyAlignment="1">
      <alignment horizontal="left" vertical="center" wrapText="1" indent="1"/>
    </xf>
    <xf numFmtId="0" fontId="941" fillId="0" borderId="1" xfId="0" applyFont="1" applyBorder="1" applyAlignment="1">
      <alignment horizontal="left" vertical="center" wrapText="1" indent="1"/>
    </xf>
    <xf numFmtId="0" fontId="942" fillId="0" borderId="1" xfId="0" applyFont="1" applyBorder="1" applyAlignment="1">
      <alignment horizontal="left" vertical="center" wrapText="1" indent="1"/>
    </xf>
    <xf numFmtId="0" fontId="943" fillId="0" borderId="1" xfId="0" applyFont="1" applyBorder="1" applyAlignment="1">
      <alignment horizontal="left" vertical="center" wrapText="1" indent="1"/>
    </xf>
    <xf numFmtId="0" fontId="944" fillId="0" borderId="1" xfId="0" applyFont="1" applyBorder="1" applyAlignment="1">
      <alignment horizontal="left" vertical="center" wrapText="1" indent="1"/>
    </xf>
    <xf numFmtId="0" fontId="945" fillId="0" borderId="1" xfId="0" applyFont="1" applyBorder="1" applyAlignment="1">
      <alignment horizontal="left" vertical="center" wrapText="1" indent="1"/>
    </xf>
    <xf numFmtId="0" fontId="946" fillId="0" borderId="1" xfId="0" applyFont="1" applyBorder="1" applyAlignment="1">
      <alignment horizontal="left" vertical="center" wrapText="1" indent="1"/>
    </xf>
    <xf numFmtId="0" fontId="947" fillId="0" borderId="1" xfId="0" applyFont="1" applyBorder="1" applyAlignment="1">
      <alignment horizontal="left" vertical="center" wrapText="1" indent="1"/>
    </xf>
    <xf numFmtId="0" fontId="948" fillId="0" borderId="1" xfId="0" applyFont="1" applyBorder="1" applyAlignment="1">
      <alignment horizontal="left" vertical="center" wrapText="1" indent="1"/>
    </xf>
    <xf numFmtId="0" fontId="949" fillId="0" borderId="1" xfId="0" applyFont="1" applyBorder="1" applyAlignment="1">
      <alignment horizontal="left" vertical="center" wrapText="1" indent="1"/>
    </xf>
    <xf numFmtId="0" fontId="950" fillId="0" borderId="1" xfId="0" applyFont="1" applyBorder="1" applyAlignment="1">
      <alignment horizontal="left" vertical="center" wrapText="1" indent="1"/>
    </xf>
    <xf numFmtId="0" fontId="951" fillId="0" borderId="1" xfId="0" applyFont="1" applyBorder="1" applyAlignment="1">
      <alignment horizontal="left" vertical="center" wrapText="1" indent="1"/>
    </xf>
    <xf numFmtId="0" fontId="952" fillId="0" borderId="1" xfId="0" applyFont="1" applyBorder="1" applyAlignment="1">
      <alignment horizontal="left" vertical="center" wrapText="1" indent="1"/>
    </xf>
    <xf numFmtId="0" fontId="953" fillId="0" borderId="1" xfId="0" applyFont="1" applyBorder="1" applyAlignment="1">
      <alignment horizontal="left" vertical="center" wrapText="1" indent="1"/>
    </xf>
    <xf numFmtId="0" fontId="954" fillId="0" borderId="1" xfId="0" applyFont="1" applyBorder="1" applyAlignment="1">
      <alignment horizontal="left" vertical="center" wrapText="1" indent="1"/>
    </xf>
    <xf numFmtId="0" fontId="955" fillId="0" borderId="1" xfId="0" applyFont="1" applyBorder="1" applyAlignment="1">
      <alignment horizontal="left" vertical="center" wrapText="1" indent="1"/>
    </xf>
    <xf numFmtId="0" fontId="956" fillId="0" borderId="1" xfId="0" applyFont="1" applyBorder="1" applyAlignment="1">
      <alignment horizontal="left" vertical="center" wrapText="1" indent="1"/>
    </xf>
    <xf numFmtId="0" fontId="957" fillId="0" borderId="1" xfId="0" applyFont="1" applyBorder="1" applyAlignment="1">
      <alignment horizontal="left" vertical="center" wrapText="1" indent="1"/>
    </xf>
    <xf numFmtId="0" fontId="958" fillId="0" borderId="1" xfId="0" applyFont="1" applyBorder="1" applyAlignment="1">
      <alignment horizontal="left" vertical="center" wrapText="1" indent="1"/>
    </xf>
    <xf numFmtId="0" fontId="959" fillId="0" borderId="1" xfId="0" applyFont="1" applyBorder="1" applyAlignment="1">
      <alignment horizontal="left" vertical="center" wrapText="1" indent="1"/>
    </xf>
    <xf numFmtId="0" fontId="960" fillId="0" borderId="1" xfId="0" applyFont="1" applyBorder="1" applyAlignment="1">
      <alignment horizontal="left" vertical="center" wrapText="1" indent="1"/>
    </xf>
    <xf numFmtId="0" fontId="961" fillId="0" borderId="1" xfId="0" applyFont="1" applyBorder="1" applyAlignment="1">
      <alignment horizontal="left" vertical="center" wrapText="1" indent="1"/>
    </xf>
    <xf numFmtId="0" fontId="962" fillId="0" borderId="1" xfId="0" applyFont="1" applyBorder="1" applyAlignment="1">
      <alignment horizontal="left" vertical="center" wrapText="1" indent="1"/>
    </xf>
    <xf numFmtId="0" fontId="963" fillId="0" borderId="1" xfId="0" applyFont="1" applyBorder="1" applyAlignment="1">
      <alignment horizontal="left" vertical="center" wrapText="1" indent="1"/>
    </xf>
    <xf numFmtId="0" fontId="964" fillId="0" borderId="1" xfId="0" applyFont="1" applyBorder="1" applyAlignment="1">
      <alignment horizontal="left" vertical="center" wrapText="1" indent="1"/>
    </xf>
    <xf numFmtId="0" fontId="965" fillId="0" borderId="1" xfId="0" applyFont="1" applyBorder="1" applyAlignment="1">
      <alignment horizontal="left" vertical="center" wrapText="1" indent="1"/>
    </xf>
    <xf numFmtId="0" fontId="966" fillId="0" borderId="1" xfId="0" applyFont="1" applyBorder="1" applyAlignment="1">
      <alignment horizontal="left" vertical="center" wrapText="1" indent="1"/>
    </xf>
    <xf numFmtId="0" fontId="967" fillId="0" borderId="1" xfId="0" applyFont="1" applyBorder="1" applyAlignment="1">
      <alignment horizontal="left" vertical="center" wrapText="1" indent="1"/>
    </xf>
    <xf numFmtId="0" fontId="968" fillId="0" borderId="1" xfId="0" applyFont="1" applyBorder="1" applyAlignment="1">
      <alignment horizontal="left" vertical="center" wrapText="1" indent="1"/>
    </xf>
    <xf numFmtId="0" fontId="969" fillId="0" borderId="1" xfId="0" applyFont="1" applyBorder="1" applyAlignment="1">
      <alignment horizontal="left" vertical="center" wrapText="1" indent="1"/>
    </xf>
    <xf numFmtId="0" fontId="970" fillId="0" borderId="1" xfId="0" applyFont="1" applyBorder="1" applyAlignment="1">
      <alignment horizontal="left" vertical="center" wrapText="1" indent="1"/>
    </xf>
    <xf numFmtId="0" fontId="971" fillId="0" borderId="1" xfId="0" applyFont="1" applyBorder="1" applyAlignment="1">
      <alignment horizontal="left" vertical="center" wrapText="1" indent="1"/>
    </xf>
    <xf numFmtId="0" fontId="972" fillId="0" borderId="1" xfId="0" applyFont="1" applyBorder="1" applyAlignment="1">
      <alignment horizontal="left" vertical="center" wrapText="1" indent="1"/>
    </xf>
    <xf numFmtId="0" fontId="973" fillId="0" borderId="1" xfId="0" applyFont="1" applyBorder="1" applyAlignment="1">
      <alignment horizontal="left" vertical="center" wrapText="1" indent="1"/>
    </xf>
    <xf numFmtId="0" fontId="974" fillId="0" borderId="1" xfId="0" applyFont="1" applyBorder="1" applyAlignment="1">
      <alignment horizontal="left" vertical="center" wrapText="1" indent="1"/>
    </xf>
    <xf numFmtId="0" fontId="975" fillId="0" borderId="1" xfId="0" applyFont="1" applyBorder="1" applyAlignment="1">
      <alignment horizontal="left" vertical="center" wrapText="1" indent="1"/>
    </xf>
    <xf numFmtId="0" fontId="976" fillId="0" borderId="1" xfId="0" applyFont="1" applyBorder="1" applyAlignment="1">
      <alignment horizontal="left" vertical="center" wrapText="1" indent="1"/>
    </xf>
    <xf numFmtId="0" fontId="977" fillId="0" borderId="1" xfId="0" applyFont="1" applyBorder="1" applyAlignment="1">
      <alignment horizontal="left" vertical="center" wrapText="1" indent="1"/>
    </xf>
    <xf numFmtId="0" fontId="978" fillId="0" borderId="1" xfId="0" applyFont="1" applyBorder="1" applyAlignment="1">
      <alignment horizontal="left" vertical="center" wrapText="1" indent="1"/>
    </xf>
    <xf numFmtId="0" fontId="979" fillId="0" borderId="1" xfId="0" applyFont="1" applyBorder="1" applyAlignment="1">
      <alignment horizontal="left" vertical="center" wrapText="1" indent="1"/>
    </xf>
    <xf numFmtId="0" fontId="980" fillId="0" borderId="1" xfId="0" applyFont="1" applyBorder="1" applyAlignment="1">
      <alignment horizontal="left" vertical="center" wrapText="1" indent="1"/>
    </xf>
    <xf numFmtId="0" fontId="981" fillId="0" borderId="1" xfId="0" applyFont="1" applyBorder="1" applyAlignment="1">
      <alignment horizontal="left" vertical="center" wrapText="1" indent="1"/>
    </xf>
    <xf numFmtId="0" fontId="982" fillId="0" borderId="1" xfId="0" applyFont="1" applyBorder="1" applyAlignment="1">
      <alignment horizontal="left" vertical="center" wrapText="1" indent="1"/>
    </xf>
    <xf numFmtId="0" fontId="983" fillId="0" borderId="1" xfId="0" applyFont="1" applyBorder="1" applyAlignment="1">
      <alignment horizontal="left" vertical="center" wrapText="1" indent="1"/>
    </xf>
    <xf numFmtId="0" fontId="984" fillId="0" borderId="1" xfId="0" applyFont="1" applyBorder="1" applyAlignment="1">
      <alignment horizontal="left" vertical="center" wrapText="1" indent="1"/>
    </xf>
    <xf numFmtId="0" fontId="985" fillId="0" borderId="1" xfId="0" applyFont="1" applyBorder="1" applyAlignment="1">
      <alignment horizontal="left" vertical="center" wrapText="1" indent="1"/>
    </xf>
    <xf numFmtId="0" fontId="986" fillId="0" borderId="1" xfId="0" applyFont="1" applyBorder="1" applyAlignment="1">
      <alignment horizontal="left" vertical="center" wrapText="1" indent="1"/>
    </xf>
    <xf numFmtId="0" fontId="987" fillId="0" borderId="1" xfId="0" applyFont="1" applyBorder="1" applyAlignment="1">
      <alignment horizontal="left" vertical="center" wrapText="1" indent="1"/>
    </xf>
    <xf numFmtId="0" fontId="988" fillId="0" borderId="1" xfId="0" applyFont="1" applyBorder="1" applyAlignment="1">
      <alignment horizontal="left" vertical="center" wrapText="1" indent="1"/>
    </xf>
    <xf numFmtId="0" fontId="989" fillId="0" borderId="1" xfId="0" applyFont="1" applyBorder="1" applyAlignment="1">
      <alignment horizontal="left" vertical="center" wrapText="1" indent="1"/>
    </xf>
    <xf numFmtId="0" fontId="990" fillId="0" borderId="1" xfId="0" applyFont="1" applyBorder="1" applyAlignment="1">
      <alignment horizontal="left" vertical="center" wrapText="1" indent="1"/>
    </xf>
    <xf numFmtId="0" fontId="991" fillId="0" borderId="1" xfId="0" applyFont="1" applyBorder="1" applyAlignment="1">
      <alignment horizontal="left" vertical="center" wrapText="1" indent="1"/>
    </xf>
    <xf numFmtId="0" fontId="992" fillId="0" borderId="1" xfId="0" applyFont="1" applyBorder="1" applyAlignment="1">
      <alignment horizontal="left" vertical="center" wrapText="1" indent="1"/>
    </xf>
    <xf numFmtId="0" fontId="993" fillId="0" borderId="1" xfId="0" applyFont="1" applyBorder="1" applyAlignment="1">
      <alignment horizontal="left" vertical="center" wrapText="1" indent="1"/>
    </xf>
    <xf numFmtId="0" fontId="994" fillId="0" borderId="1" xfId="0" applyFont="1" applyBorder="1" applyAlignment="1">
      <alignment horizontal="left" vertical="center" wrapText="1" indent="1"/>
    </xf>
    <xf numFmtId="0" fontId="995" fillId="0" borderId="1" xfId="0" applyFont="1" applyBorder="1" applyAlignment="1">
      <alignment horizontal="left" vertical="center" wrapText="1" indent="1"/>
    </xf>
    <xf numFmtId="0" fontId="996" fillId="0" borderId="1" xfId="0" applyFont="1" applyBorder="1" applyAlignment="1">
      <alignment horizontal="left" vertical="center" wrapText="1" indent="1"/>
    </xf>
    <xf numFmtId="0" fontId="997" fillId="0" borderId="1" xfId="0" applyFont="1" applyBorder="1" applyAlignment="1">
      <alignment horizontal="left" vertical="center" wrapText="1" indent="1"/>
    </xf>
    <xf numFmtId="0" fontId="998" fillId="0" borderId="1" xfId="0" applyFont="1" applyBorder="1" applyAlignment="1">
      <alignment horizontal="left" vertical="center" wrapText="1" indent="1"/>
    </xf>
    <xf numFmtId="0" fontId="999" fillId="0" borderId="1" xfId="0" applyFont="1" applyBorder="1" applyAlignment="1">
      <alignment horizontal="left" vertical="center" wrapText="1" indent="1"/>
    </xf>
    <xf numFmtId="0" fontId="1000" fillId="0" borderId="1" xfId="0" applyFont="1" applyBorder="1" applyAlignment="1">
      <alignment horizontal="left" vertical="center" wrapText="1" indent="1"/>
    </xf>
    <xf numFmtId="0" fontId="1001" fillId="0" borderId="1" xfId="0" applyFont="1" applyBorder="1" applyAlignment="1">
      <alignment horizontal="left" vertical="center" wrapText="1" indent="1"/>
    </xf>
    <xf numFmtId="0" fontId="1002" fillId="0" borderId="1" xfId="0" applyFont="1" applyBorder="1" applyAlignment="1">
      <alignment horizontal="left" vertical="center" wrapText="1" indent="1"/>
    </xf>
    <xf numFmtId="0" fontId="1003" fillId="0" borderId="1" xfId="0" applyFont="1" applyBorder="1" applyAlignment="1">
      <alignment horizontal="left" vertical="center" wrapText="1" indent="1"/>
    </xf>
    <xf numFmtId="0" fontId="1004" fillId="0" borderId="1" xfId="0" applyFont="1" applyBorder="1" applyAlignment="1">
      <alignment horizontal="left" vertical="center" wrapText="1" indent="1"/>
    </xf>
    <xf numFmtId="0" fontId="1005" fillId="0" borderId="1" xfId="0" applyFont="1" applyBorder="1" applyAlignment="1">
      <alignment horizontal="left" vertical="center" wrapText="1" indent="1"/>
    </xf>
    <xf numFmtId="0" fontId="1006" fillId="0" borderId="1" xfId="0" applyFont="1" applyBorder="1" applyAlignment="1">
      <alignment horizontal="left" vertical="center" wrapText="1" indent="1"/>
    </xf>
    <xf numFmtId="0" fontId="1007" fillId="0" borderId="1" xfId="0" applyFont="1" applyBorder="1" applyAlignment="1">
      <alignment horizontal="left" vertical="center" wrapText="1" indent="1"/>
    </xf>
    <xf numFmtId="0" fontId="1008" fillId="0" borderId="1" xfId="0" applyFont="1" applyBorder="1" applyAlignment="1">
      <alignment horizontal="left" vertical="center" wrapText="1" indent="1"/>
    </xf>
    <xf numFmtId="0" fontId="1009" fillId="0" borderId="1" xfId="0" applyFont="1" applyBorder="1" applyAlignment="1">
      <alignment horizontal="left" vertical="center" wrapText="1" indent="1"/>
    </xf>
    <xf numFmtId="0" fontId="1010" fillId="0" borderId="1" xfId="0" applyFont="1" applyBorder="1" applyAlignment="1">
      <alignment horizontal="left" vertical="center" wrapText="1" indent="1"/>
    </xf>
    <xf numFmtId="0" fontId="1011" fillId="0" borderId="1" xfId="0" applyFont="1" applyBorder="1" applyAlignment="1">
      <alignment horizontal="left" vertical="center" wrapText="1" indent="1"/>
    </xf>
    <xf numFmtId="0" fontId="1012" fillId="0" borderId="1" xfId="0" applyFont="1" applyBorder="1" applyAlignment="1">
      <alignment horizontal="left" vertical="center" wrapText="1" indent="1"/>
    </xf>
    <xf numFmtId="0" fontId="1013" fillId="0" borderId="1" xfId="0" applyFont="1" applyBorder="1" applyAlignment="1">
      <alignment horizontal="left" vertical="center" wrapText="1" indent="1"/>
    </xf>
    <xf numFmtId="0" fontId="1014" fillId="0" borderId="1" xfId="0" applyFont="1" applyBorder="1" applyAlignment="1">
      <alignment horizontal="left" vertical="center" wrapText="1" indent="1"/>
    </xf>
    <xf numFmtId="0" fontId="1015" fillId="0" borderId="1" xfId="0" applyFont="1" applyBorder="1" applyAlignment="1">
      <alignment horizontal="left" vertical="center" wrapText="1" indent="1"/>
    </xf>
    <xf numFmtId="0" fontId="1016" fillId="0" borderId="1" xfId="0" applyFont="1" applyBorder="1" applyAlignment="1">
      <alignment horizontal="left" vertical="center" wrapText="1" indent="1"/>
    </xf>
    <xf numFmtId="0" fontId="1017" fillId="0" borderId="1" xfId="0" applyFont="1" applyBorder="1" applyAlignment="1">
      <alignment horizontal="left" vertical="center" wrapText="1" indent="1"/>
    </xf>
    <xf numFmtId="0" fontId="1018" fillId="0" borderId="1" xfId="0" applyFont="1" applyBorder="1" applyAlignment="1">
      <alignment horizontal="left" vertical="center" wrapText="1" indent="1"/>
    </xf>
    <xf numFmtId="0" fontId="1019" fillId="0" borderId="1" xfId="0" applyFont="1" applyBorder="1" applyAlignment="1">
      <alignment horizontal="left" vertical="center" wrapText="1" indent="1"/>
    </xf>
    <xf numFmtId="0" fontId="1020" fillId="0" borderId="1" xfId="0" applyFont="1" applyBorder="1" applyAlignment="1">
      <alignment horizontal="left" vertical="center" wrapText="1" indent="1"/>
    </xf>
    <xf numFmtId="0" fontId="1021" fillId="0" borderId="1" xfId="0" applyFont="1" applyBorder="1" applyAlignment="1">
      <alignment horizontal="left" vertical="center" wrapText="1" indent="1"/>
    </xf>
    <xf numFmtId="0" fontId="1022" fillId="0" borderId="1" xfId="0" applyFont="1" applyBorder="1" applyAlignment="1">
      <alignment horizontal="left" vertical="center" wrapText="1" indent="1"/>
    </xf>
    <xf numFmtId="0" fontId="1023" fillId="0" borderId="1" xfId="0" applyFont="1" applyBorder="1" applyAlignment="1">
      <alignment horizontal="left" vertical="center" wrapText="1" indent="1"/>
    </xf>
    <xf numFmtId="0" fontId="1024" fillId="0" borderId="1" xfId="0" applyFont="1" applyBorder="1" applyAlignment="1">
      <alignment horizontal="left" vertical="center" wrapText="1" indent="1"/>
    </xf>
    <xf numFmtId="0" fontId="1025" fillId="0" borderId="1" xfId="0" applyFont="1" applyBorder="1" applyAlignment="1">
      <alignment horizontal="left" vertical="center" wrapText="1" indent="1"/>
    </xf>
    <xf numFmtId="0" fontId="1026" fillId="0" borderId="1" xfId="0" applyFont="1" applyBorder="1" applyAlignment="1">
      <alignment horizontal="left" vertical="center" wrapText="1" indent="1"/>
    </xf>
    <xf numFmtId="0" fontId="1027" fillId="0" borderId="1" xfId="0" applyFont="1" applyBorder="1" applyAlignment="1">
      <alignment horizontal="left" vertical="center" wrapText="1" indent="1"/>
    </xf>
    <xf numFmtId="0" fontId="1028" fillId="0" borderId="1" xfId="0" applyFont="1" applyBorder="1" applyAlignment="1">
      <alignment horizontal="left" vertical="center" wrapText="1" indent="1"/>
    </xf>
    <xf numFmtId="0" fontId="1029" fillId="0" borderId="1" xfId="0" applyFont="1" applyBorder="1" applyAlignment="1">
      <alignment horizontal="left" vertical="center" wrapText="1" indent="1"/>
    </xf>
    <xf numFmtId="0" fontId="1030" fillId="0" borderId="1" xfId="0" applyFont="1" applyBorder="1" applyAlignment="1">
      <alignment horizontal="left" vertical="center" wrapText="1" indent="1"/>
    </xf>
    <xf numFmtId="0" fontId="1031" fillId="0" borderId="1" xfId="0" applyFont="1" applyBorder="1" applyAlignment="1">
      <alignment horizontal="left" vertical="center" wrapText="1" indent="1"/>
    </xf>
    <xf numFmtId="0" fontId="1032" fillId="0" borderId="1" xfId="0" applyFont="1" applyBorder="1" applyAlignment="1">
      <alignment horizontal="left" vertical="center" wrapText="1" indent="1"/>
    </xf>
    <xf numFmtId="0" fontId="1033" fillId="0" borderId="1" xfId="0" applyFont="1" applyBorder="1" applyAlignment="1">
      <alignment horizontal="left" vertical="center" wrapText="1" indent="1"/>
    </xf>
    <xf numFmtId="0" fontId="1034" fillId="0" borderId="1" xfId="0" applyFont="1" applyBorder="1" applyAlignment="1">
      <alignment horizontal="left" vertical="center" wrapText="1" indent="1"/>
    </xf>
    <xf numFmtId="0" fontId="1035" fillId="0" borderId="1" xfId="0" applyFont="1" applyBorder="1" applyAlignment="1">
      <alignment horizontal="left" vertical="center" wrapText="1" indent="1"/>
    </xf>
    <xf numFmtId="0" fontId="1036" fillId="0" borderId="1" xfId="0" applyFont="1" applyBorder="1" applyAlignment="1">
      <alignment horizontal="left" vertical="center" wrapText="1" indent="1"/>
    </xf>
    <xf numFmtId="0" fontId="1037" fillId="0" borderId="1" xfId="0" applyFont="1" applyBorder="1" applyAlignment="1">
      <alignment horizontal="left" vertical="center" wrapText="1" indent="1"/>
    </xf>
    <xf numFmtId="0" fontId="1038" fillId="0" borderId="1" xfId="0" applyFont="1" applyBorder="1" applyAlignment="1">
      <alignment horizontal="left" vertical="center" wrapText="1" indent="1"/>
    </xf>
    <xf numFmtId="0" fontId="1039" fillId="0" borderId="1" xfId="0" applyFont="1" applyBorder="1" applyAlignment="1">
      <alignment horizontal="left" vertical="center" wrapText="1" indent="1"/>
    </xf>
    <xf numFmtId="0" fontId="1040" fillId="0" borderId="1" xfId="0" applyFont="1" applyBorder="1" applyAlignment="1">
      <alignment horizontal="left" vertical="center" wrapText="1" indent="1"/>
    </xf>
    <xf numFmtId="0" fontId="1041" fillId="0" borderId="1" xfId="0" applyFont="1" applyBorder="1" applyAlignment="1">
      <alignment horizontal="left" vertical="center" wrapText="1" indent="1"/>
    </xf>
    <xf numFmtId="0" fontId="1042" fillId="0" borderId="1" xfId="0" applyFont="1" applyBorder="1" applyAlignment="1">
      <alignment horizontal="left" vertical="center" wrapText="1" indent="1"/>
    </xf>
    <xf numFmtId="0" fontId="1043" fillId="0" borderId="1" xfId="0" applyFont="1" applyBorder="1" applyAlignment="1">
      <alignment horizontal="left" vertical="center" wrapText="1" indent="1"/>
    </xf>
    <xf numFmtId="0" fontId="1044" fillId="0" borderId="1" xfId="0" applyFont="1" applyBorder="1" applyAlignment="1">
      <alignment horizontal="left" vertical="center" wrapText="1" indent="1"/>
    </xf>
    <xf numFmtId="0" fontId="1045" fillId="0" borderId="1" xfId="0" applyFont="1" applyBorder="1" applyAlignment="1">
      <alignment horizontal="left" vertical="center" wrapText="1" indent="1"/>
    </xf>
    <xf numFmtId="0" fontId="1046" fillId="0" borderId="1" xfId="0" applyFont="1" applyBorder="1" applyAlignment="1">
      <alignment horizontal="left" vertical="center" wrapText="1" indent="1"/>
    </xf>
    <xf numFmtId="0" fontId="1047" fillId="0" borderId="1" xfId="0" applyFont="1" applyBorder="1" applyAlignment="1">
      <alignment horizontal="left" vertical="center" wrapText="1" indent="1"/>
    </xf>
    <xf numFmtId="0" fontId="1048" fillId="0" borderId="1" xfId="0" applyFont="1" applyBorder="1" applyAlignment="1">
      <alignment horizontal="left" vertical="center" wrapText="1" indent="1"/>
    </xf>
    <xf numFmtId="0" fontId="1049" fillId="0" borderId="1" xfId="0" applyFont="1" applyBorder="1" applyAlignment="1">
      <alignment horizontal="left" vertical="center" wrapText="1" indent="1"/>
    </xf>
    <xf numFmtId="0" fontId="1050" fillId="0" borderId="1" xfId="0" applyFont="1" applyBorder="1" applyAlignment="1">
      <alignment horizontal="left" vertical="center" wrapText="1" indent="1"/>
    </xf>
    <xf numFmtId="0" fontId="1051" fillId="0" borderId="1" xfId="0" applyFont="1" applyBorder="1" applyAlignment="1">
      <alignment horizontal="left" vertical="center" wrapText="1" indent="1"/>
    </xf>
    <xf numFmtId="0" fontId="1052" fillId="0" borderId="1" xfId="0" applyFont="1" applyBorder="1" applyAlignment="1">
      <alignment horizontal="left" vertical="center" wrapText="1" indent="1"/>
    </xf>
    <xf numFmtId="0" fontId="1053" fillId="0" borderId="1" xfId="0" applyFont="1" applyBorder="1" applyAlignment="1">
      <alignment horizontal="left" vertical="center" wrapText="1" indent="1"/>
    </xf>
    <xf numFmtId="0" fontId="1054" fillId="0" borderId="1" xfId="0" applyFont="1" applyBorder="1" applyAlignment="1">
      <alignment horizontal="left" vertical="center" wrapText="1" indent="1"/>
    </xf>
    <xf numFmtId="0" fontId="1055" fillId="0" borderId="1" xfId="0" applyFont="1" applyBorder="1" applyAlignment="1">
      <alignment horizontal="left" vertical="center" wrapText="1" indent="1"/>
    </xf>
    <xf numFmtId="0" fontId="1056" fillId="0" borderId="1" xfId="0" applyFont="1" applyBorder="1" applyAlignment="1">
      <alignment horizontal="left" vertical="center" wrapText="1" indent="1"/>
    </xf>
    <xf numFmtId="0" fontId="1057" fillId="0" borderId="1" xfId="0" applyFont="1" applyBorder="1" applyAlignment="1">
      <alignment horizontal="left" vertical="center" wrapText="1" indent="1"/>
    </xf>
    <xf numFmtId="0" fontId="1058" fillId="0" borderId="1" xfId="0" applyFont="1" applyBorder="1" applyAlignment="1">
      <alignment horizontal="left" vertical="center" wrapText="1" indent="1"/>
    </xf>
    <xf numFmtId="0" fontId="1059" fillId="0" borderId="1" xfId="0" applyFont="1" applyBorder="1" applyAlignment="1">
      <alignment horizontal="left" vertical="center" wrapText="1" indent="1"/>
    </xf>
    <xf numFmtId="0" fontId="1060" fillId="0" borderId="1" xfId="0" applyFont="1" applyBorder="1" applyAlignment="1">
      <alignment horizontal="left" vertical="center" wrapText="1" indent="1"/>
    </xf>
    <xf numFmtId="0" fontId="1061" fillId="0" borderId="1" xfId="0" applyFont="1" applyBorder="1" applyAlignment="1">
      <alignment horizontal="left" vertical="center" wrapText="1" indent="1"/>
    </xf>
    <xf numFmtId="0" fontId="1062" fillId="0" borderId="1" xfId="0" applyFont="1" applyBorder="1" applyAlignment="1">
      <alignment horizontal="left" vertical="center" wrapText="1" indent="1"/>
    </xf>
    <xf numFmtId="0" fontId="1063" fillId="0" borderId="1" xfId="0" applyFont="1" applyBorder="1" applyAlignment="1">
      <alignment horizontal="left" vertical="center" wrapText="1" indent="1"/>
    </xf>
    <xf numFmtId="0" fontId="1064" fillId="0" borderId="1" xfId="0" applyFont="1" applyBorder="1" applyAlignment="1">
      <alignment horizontal="left" vertical="center" wrapText="1" indent="1"/>
    </xf>
    <xf numFmtId="0" fontId="1065" fillId="0" borderId="1" xfId="0" applyFont="1" applyBorder="1" applyAlignment="1">
      <alignment horizontal="left" vertical="center" wrapText="1" indent="1"/>
    </xf>
    <xf numFmtId="0" fontId="1066" fillId="0" borderId="1" xfId="0" applyFont="1" applyBorder="1" applyAlignment="1">
      <alignment horizontal="left" vertical="center" wrapText="1" indent="1"/>
    </xf>
    <xf numFmtId="0" fontId="1067" fillId="0" borderId="1" xfId="0" applyFont="1" applyBorder="1" applyAlignment="1">
      <alignment horizontal="left" vertical="center" wrapText="1" indent="1"/>
    </xf>
    <xf numFmtId="0" fontId="1068" fillId="0" borderId="1" xfId="0" applyFont="1" applyBorder="1" applyAlignment="1">
      <alignment horizontal="left" vertical="center" wrapText="1" indent="1"/>
    </xf>
    <xf numFmtId="0" fontId="1069" fillId="0" borderId="1" xfId="0" applyFont="1" applyBorder="1" applyAlignment="1">
      <alignment horizontal="left" vertical="center" wrapText="1" indent="1"/>
    </xf>
    <xf numFmtId="0" fontId="1070" fillId="0" borderId="1" xfId="0" applyFont="1" applyBorder="1" applyAlignment="1">
      <alignment horizontal="left" vertical="center" wrapText="1" indent="1"/>
    </xf>
    <xf numFmtId="0" fontId="1071" fillId="0" borderId="1" xfId="0" applyFont="1" applyBorder="1" applyAlignment="1">
      <alignment horizontal="left" vertical="center" wrapText="1" indent="1"/>
    </xf>
    <xf numFmtId="0" fontId="1072" fillId="0" borderId="1" xfId="0" applyFont="1" applyBorder="1" applyAlignment="1">
      <alignment horizontal="left" vertical="center" wrapText="1" indent="1"/>
    </xf>
    <xf numFmtId="0" fontId="1073" fillId="0" borderId="1" xfId="0" applyFont="1" applyBorder="1" applyAlignment="1">
      <alignment horizontal="left" vertical="center" wrapText="1" indent="1"/>
    </xf>
    <xf numFmtId="0" fontId="1074" fillId="0" borderId="1" xfId="0" applyFont="1" applyBorder="1" applyAlignment="1">
      <alignment horizontal="left" vertical="center" wrapText="1" indent="1"/>
    </xf>
    <xf numFmtId="0" fontId="1075" fillId="0" borderId="1" xfId="0" applyFont="1" applyBorder="1" applyAlignment="1">
      <alignment horizontal="left" vertical="center" wrapText="1" indent="1"/>
    </xf>
    <xf numFmtId="0" fontId="1076" fillId="0" borderId="1" xfId="0" applyFont="1" applyBorder="1" applyAlignment="1">
      <alignment horizontal="left" vertical="center" wrapText="1" indent="1"/>
    </xf>
    <xf numFmtId="0" fontId="1077" fillId="0" borderId="1" xfId="0" applyFont="1" applyBorder="1" applyAlignment="1">
      <alignment horizontal="left" vertical="center" wrapText="1" indent="1"/>
    </xf>
    <xf numFmtId="0" fontId="1078" fillId="0" borderId="1" xfId="0" applyFont="1" applyBorder="1" applyAlignment="1">
      <alignment horizontal="left" vertical="center" wrapText="1" indent="1"/>
    </xf>
    <xf numFmtId="0" fontId="1079" fillId="0" borderId="1" xfId="0" applyFont="1" applyBorder="1" applyAlignment="1">
      <alignment horizontal="left" vertical="center" wrapText="1" indent="1"/>
    </xf>
    <xf numFmtId="0" fontId="1080" fillId="0" borderId="1" xfId="0" applyFont="1" applyBorder="1" applyAlignment="1">
      <alignment horizontal="left" vertical="center" wrapText="1" indent="1"/>
    </xf>
    <xf numFmtId="0" fontId="1081" fillId="0" borderId="1" xfId="0" applyFont="1" applyBorder="1" applyAlignment="1">
      <alignment horizontal="left" vertical="center" wrapText="1" indent="1"/>
    </xf>
    <xf numFmtId="0" fontId="1082" fillId="0" borderId="1" xfId="0" applyFont="1" applyBorder="1" applyAlignment="1">
      <alignment horizontal="left" vertical="center" wrapText="1" indent="1"/>
    </xf>
    <xf numFmtId="0" fontId="1083" fillId="0" borderId="1" xfId="0" applyFont="1" applyBorder="1" applyAlignment="1">
      <alignment horizontal="left" vertical="center" wrapText="1" indent="1"/>
    </xf>
    <xf numFmtId="0" fontId="1084" fillId="0" borderId="1" xfId="0" applyFont="1" applyBorder="1" applyAlignment="1">
      <alignment horizontal="left" vertical="center" wrapText="1" indent="1"/>
    </xf>
    <xf numFmtId="0" fontId="1085" fillId="0" borderId="1" xfId="0" applyFont="1" applyBorder="1" applyAlignment="1">
      <alignment horizontal="left" vertical="center" wrapText="1" indent="1"/>
    </xf>
    <xf numFmtId="0" fontId="1086" fillId="0" borderId="1" xfId="0" applyFont="1" applyBorder="1" applyAlignment="1">
      <alignment horizontal="left" vertical="center" wrapText="1" indent="1"/>
    </xf>
    <xf numFmtId="0" fontId="1087" fillId="0" borderId="1" xfId="0" applyFont="1" applyBorder="1" applyAlignment="1">
      <alignment horizontal="left" vertical="center" wrapText="1" indent="1"/>
    </xf>
    <xf numFmtId="0" fontId="1088" fillId="0" borderId="1" xfId="0" applyFont="1" applyBorder="1" applyAlignment="1">
      <alignment horizontal="left" vertical="center" wrapText="1" indent="1"/>
    </xf>
    <xf numFmtId="0" fontId="1089" fillId="0" borderId="1" xfId="0" applyFont="1" applyBorder="1" applyAlignment="1">
      <alignment horizontal="left" vertical="center" wrapText="1" indent="1"/>
    </xf>
    <xf numFmtId="0" fontId="1090" fillId="0" borderId="1" xfId="0" applyFont="1" applyBorder="1" applyAlignment="1">
      <alignment horizontal="left" vertical="center" wrapText="1" indent="1"/>
    </xf>
    <xf numFmtId="0" fontId="1091" fillId="0" borderId="1" xfId="0" applyFont="1" applyBorder="1" applyAlignment="1">
      <alignment horizontal="left" vertical="center" wrapText="1" indent="1"/>
    </xf>
    <xf numFmtId="0" fontId="1092" fillId="0" borderId="1" xfId="0" applyFont="1" applyBorder="1" applyAlignment="1">
      <alignment horizontal="left" vertical="center" wrapText="1" indent="1"/>
    </xf>
    <xf numFmtId="0" fontId="1093" fillId="0" borderId="1" xfId="0" applyFont="1" applyBorder="1" applyAlignment="1">
      <alignment horizontal="left" vertical="center" wrapText="1" indent="1"/>
    </xf>
    <xf numFmtId="0" fontId="1094" fillId="0" borderId="1" xfId="0" applyFont="1" applyBorder="1" applyAlignment="1">
      <alignment horizontal="left" vertical="center" wrapText="1" indent="1"/>
    </xf>
    <xf numFmtId="0" fontId="1095" fillId="0" borderId="1" xfId="0" applyFont="1" applyBorder="1" applyAlignment="1">
      <alignment horizontal="left" vertical="center" wrapText="1" indent="1"/>
    </xf>
    <xf numFmtId="0" fontId="1096" fillId="0" borderId="1" xfId="0" applyFont="1" applyBorder="1" applyAlignment="1">
      <alignment horizontal="left" vertical="center" wrapText="1" indent="1"/>
    </xf>
    <xf numFmtId="0" fontId="1097" fillId="0" borderId="1" xfId="0" applyFont="1" applyBorder="1" applyAlignment="1">
      <alignment horizontal="left" vertical="center" wrapText="1" indent="1"/>
    </xf>
    <xf numFmtId="0" fontId="1098" fillId="0" borderId="1" xfId="0" applyFont="1" applyBorder="1" applyAlignment="1">
      <alignment horizontal="left" vertical="center" wrapText="1" indent="1"/>
    </xf>
    <xf numFmtId="0" fontId="1099" fillId="0" borderId="1" xfId="0" applyFont="1" applyBorder="1" applyAlignment="1">
      <alignment horizontal="left" vertical="center" wrapText="1" indent="1"/>
    </xf>
    <xf numFmtId="0" fontId="1100" fillId="0" borderId="1" xfId="0" applyFont="1" applyBorder="1" applyAlignment="1">
      <alignment horizontal="left" vertical="center" wrapText="1" indent="1"/>
    </xf>
    <xf numFmtId="0" fontId="1101" fillId="0" borderId="1" xfId="0" applyFont="1" applyBorder="1" applyAlignment="1">
      <alignment horizontal="left" vertical="center" wrapText="1" indent="1"/>
    </xf>
    <xf numFmtId="0" fontId="1102" fillId="0" borderId="1" xfId="0" applyFont="1" applyBorder="1" applyAlignment="1">
      <alignment horizontal="left" vertical="center" wrapText="1" indent="1"/>
    </xf>
    <xf numFmtId="0" fontId="1103" fillId="0" borderId="1" xfId="0" applyFont="1" applyBorder="1" applyAlignment="1">
      <alignment horizontal="left" vertical="center" wrapText="1" indent="1"/>
    </xf>
    <xf numFmtId="0" fontId="1104" fillId="0" borderId="1" xfId="0" applyFont="1" applyBorder="1" applyAlignment="1">
      <alignment horizontal="left" vertical="center" wrapText="1" indent="1"/>
    </xf>
    <xf numFmtId="0" fontId="1105" fillId="0" borderId="1" xfId="0" applyFont="1" applyBorder="1" applyAlignment="1">
      <alignment horizontal="left" vertical="center" wrapText="1" indent="1"/>
    </xf>
    <xf numFmtId="0" fontId="1106" fillId="0" borderId="1" xfId="0" applyFont="1" applyBorder="1" applyAlignment="1">
      <alignment horizontal="left" vertical="center" wrapText="1" indent="1"/>
    </xf>
    <xf numFmtId="0" fontId="1107" fillId="0" borderId="1" xfId="0" applyFont="1" applyBorder="1" applyAlignment="1">
      <alignment horizontal="left" vertical="center" wrapText="1" indent="1"/>
    </xf>
    <xf numFmtId="0" fontId="1108" fillId="0" borderId="1" xfId="0" applyFont="1" applyBorder="1" applyAlignment="1">
      <alignment horizontal="left" vertical="center" wrapText="1" indent="1"/>
    </xf>
    <xf numFmtId="0" fontId="1109" fillId="0" borderId="1" xfId="0" applyFont="1" applyBorder="1" applyAlignment="1">
      <alignment horizontal="left" vertical="center" wrapText="1" indent="1"/>
    </xf>
    <xf numFmtId="0" fontId="1110" fillId="0" borderId="1" xfId="0" applyFont="1" applyBorder="1" applyAlignment="1">
      <alignment horizontal="left" vertical="center" wrapText="1" indent="1"/>
    </xf>
    <xf numFmtId="0" fontId="1111" fillId="0" borderId="1" xfId="0" applyFont="1" applyBorder="1" applyAlignment="1">
      <alignment horizontal="left" vertical="center" wrapText="1" indent="1"/>
    </xf>
    <xf numFmtId="0" fontId="1112" fillId="0" borderId="1" xfId="0" applyFont="1" applyBorder="1" applyAlignment="1">
      <alignment horizontal="left" vertical="center" wrapText="1" indent="1"/>
    </xf>
    <xf numFmtId="0" fontId="1113" fillId="0" borderId="1" xfId="0" applyFont="1" applyBorder="1" applyAlignment="1">
      <alignment horizontal="left" vertical="center" wrapText="1" indent="1"/>
    </xf>
    <xf numFmtId="0" fontId="1114" fillId="0" borderId="1" xfId="0" applyFont="1" applyBorder="1" applyAlignment="1">
      <alignment horizontal="left" vertical="center" wrapText="1" indent="1"/>
    </xf>
    <xf numFmtId="0" fontId="1115" fillId="0" borderId="1" xfId="0" applyFont="1" applyBorder="1" applyAlignment="1">
      <alignment horizontal="left" vertical="center" wrapText="1" indent="1"/>
    </xf>
    <xf numFmtId="0" fontId="1116" fillId="0" borderId="1" xfId="0" applyFont="1" applyBorder="1" applyAlignment="1">
      <alignment horizontal="left" vertical="center" wrapText="1" indent="1"/>
    </xf>
    <xf numFmtId="0" fontId="1117" fillId="0" borderId="1" xfId="0" applyFont="1" applyBorder="1" applyAlignment="1">
      <alignment horizontal="left" vertical="center" wrapText="1" indent="1"/>
    </xf>
    <xf numFmtId="0" fontId="1118" fillId="0" borderId="1" xfId="0" applyFont="1" applyBorder="1" applyAlignment="1">
      <alignment horizontal="left" vertical="center" wrapText="1" indent="1"/>
    </xf>
    <xf numFmtId="0" fontId="1119" fillId="0" borderId="1" xfId="0" applyFont="1" applyBorder="1" applyAlignment="1">
      <alignment horizontal="left" vertical="center" wrapText="1" indent="1"/>
    </xf>
    <xf numFmtId="0" fontId="1120" fillId="0" borderId="1" xfId="0" applyFont="1" applyBorder="1" applyAlignment="1">
      <alignment horizontal="left" vertical="center" wrapText="1" indent="1"/>
    </xf>
    <xf numFmtId="0" fontId="1121" fillId="0" borderId="1" xfId="0" applyFont="1" applyBorder="1" applyAlignment="1">
      <alignment horizontal="left" vertical="center" wrapText="1" indent="1"/>
    </xf>
    <xf numFmtId="0" fontId="1122" fillId="0" borderId="1" xfId="0" applyFont="1" applyBorder="1" applyAlignment="1">
      <alignment horizontal="left" vertical="center" wrapText="1" indent="1"/>
    </xf>
    <xf numFmtId="0" fontId="1123" fillId="0" borderId="1" xfId="0" applyFont="1" applyBorder="1" applyAlignment="1">
      <alignment horizontal="left" vertical="center" wrapText="1" indent="1"/>
    </xf>
    <xf numFmtId="0" fontId="1124" fillId="0" borderId="1" xfId="0" applyFont="1" applyBorder="1" applyAlignment="1">
      <alignment horizontal="left" vertical="center" wrapText="1" indent="1"/>
    </xf>
    <xf numFmtId="0" fontId="1125" fillId="0" borderId="1" xfId="0" applyFont="1" applyBorder="1" applyAlignment="1">
      <alignment horizontal="left" vertical="center" wrapText="1" indent="1"/>
    </xf>
    <xf numFmtId="0" fontId="1126" fillId="0" borderId="1" xfId="0" applyFont="1" applyBorder="1" applyAlignment="1">
      <alignment horizontal="left" vertical="center" wrapText="1" indent="1"/>
    </xf>
    <xf numFmtId="0" fontId="1127" fillId="0" borderId="1" xfId="0" applyFont="1" applyBorder="1" applyAlignment="1">
      <alignment horizontal="left" vertical="center" wrapText="1" indent="1"/>
    </xf>
    <xf numFmtId="0" fontId="1128" fillId="0" borderId="1" xfId="0" applyFont="1" applyBorder="1" applyAlignment="1">
      <alignment horizontal="left" vertical="center" wrapText="1" indent="1"/>
    </xf>
    <xf numFmtId="0" fontId="1129" fillId="0" borderId="1" xfId="0" applyFont="1" applyBorder="1" applyAlignment="1">
      <alignment horizontal="left" vertical="center" wrapText="1" indent="1"/>
    </xf>
    <xf numFmtId="0" fontId="1130" fillId="0" borderId="1" xfId="0" applyFont="1" applyBorder="1" applyAlignment="1">
      <alignment horizontal="left" vertical="center" wrapText="1" indent="1"/>
    </xf>
    <xf numFmtId="0" fontId="1131" fillId="0" borderId="1" xfId="0" applyFont="1" applyBorder="1" applyAlignment="1">
      <alignment horizontal="left" vertical="center" wrapText="1" indent="1"/>
    </xf>
    <xf numFmtId="0" fontId="1132" fillId="0" borderId="1" xfId="0" applyFont="1" applyBorder="1" applyAlignment="1">
      <alignment horizontal="left" vertical="center" wrapText="1" indent="1"/>
    </xf>
    <xf numFmtId="0" fontId="1133" fillId="0" borderId="1" xfId="0" applyFont="1" applyBorder="1" applyAlignment="1">
      <alignment horizontal="left" vertical="center" wrapText="1" indent="1"/>
    </xf>
    <xf numFmtId="0" fontId="1134" fillId="0" borderId="1" xfId="0" applyFont="1" applyBorder="1" applyAlignment="1">
      <alignment horizontal="left" vertical="center" wrapText="1" indent="1"/>
    </xf>
    <xf numFmtId="0" fontId="1135" fillId="0" borderId="1" xfId="0" applyFont="1" applyBorder="1" applyAlignment="1">
      <alignment horizontal="left" vertical="center" wrapText="1" indent="1"/>
    </xf>
    <xf numFmtId="0" fontId="1136" fillId="0" borderId="1" xfId="0" applyFont="1" applyBorder="1" applyAlignment="1">
      <alignment horizontal="left" vertical="center" wrapText="1" indent="1"/>
    </xf>
    <xf numFmtId="0" fontId="1137" fillId="0" borderId="1" xfId="0" applyFont="1" applyBorder="1" applyAlignment="1">
      <alignment horizontal="left" vertical="center" wrapText="1" indent="1"/>
    </xf>
    <xf numFmtId="0" fontId="1138" fillId="0" borderId="1" xfId="0" applyFont="1" applyBorder="1" applyAlignment="1">
      <alignment horizontal="left" vertical="center" wrapText="1" indent="1"/>
    </xf>
    <xf numFmtId="0" fontId="1139" fillId="0" borderId="1" xfId="0" applyFont="1" applyBorder="1" applyAlignment="1">
      <alignment horizontal="left" vertical="center" wrapText="1" indent="1"/>
    </xf>
    <xf numFmtId="0" fontId="1140" fillId="0" borderId="1" xfId="0" applyFont="1" applyBorder="1" applyAlignment="1">
      <alignment horizontal="left" vertical="center" wrapText="1" indent="1"/>
    </xf>
    <xf numFmtId="0" fontId="1141" fillId="0" borderId="1" xfId="0" applyFont="1" applyBorder="1" applyAlignment="1">
      <alignment horizontal="left" vertical="center" wrapText="1" indent="1"/>
    </xf>
    <xf numFmtId="0" fontId="1142" fillId="0" borderId="1" xfId="0" applyFont="1" applyBorder="1" applyAlignment="1">
      <alignment horizontal="left" vertical="center" wrapText="1" indent="1"/>
    </xf>
    <xf numFmtId="0" fontId="1143" fillId="0" borderId="1" xfId="0" applyFont="1" applyBorder="1" applyAlignment="1">
      <alignment horizontal="left" vertical="center" wrapText="1" indent="1"/>
    </xf>
    <xf numFmtId="0" fontId="1144" fillId="0" borderId="1" xfId="0" applyFont="1" applyBorder="1" applyAlignment="1">
      <alignment horizontal="left" vertical="center" wrapText="1" indent="1"/>
    </xf>
    <xf numFmtId="0" fontId="1145" fillId="0" borderId="1" xfId="0" applyFont="1" applyBorder="1" applyAlignment="1">
      <alignment horizontal="left" vertical="center" wrapText="1" indent="1"/>
    </xf>
    <xf numFmtId="0" fontId="1146" fillId="0" borderId="1" xfId="0" applyFont="1" applyBorder="1" applyAlignment="1">
      <alignment horizontal="left" vertical="center" wrapText="1" indent="1"/>
    </xf>
    <xf numFmtId="0" fontId="1147" fillId="0" borderId="1" xfId="0" applyFont="1" applyBorder="1" applyAlignment="1">
      <alignment horizontal="left" vertical="center" wrapText="1" indent="1"/>
    </xf>
    <xf numFmtId="0" fontId="1148" fillId="0" borderId="1" xfId="0" applyFont="1" applyBorder="1" applyAlignment="1">
      <alignment horizontal="left" vertical="center" wrapText="1" indent="1"/>
    </xf>
    <xf numFmtId="0" fontId="1149" fillId="0" borderId="1" xfId="0" applyFont="1" applyBorder="1" applyAlignment="1">
      <alignment horizontal="left" vertical="center" wrapText="1" indent="1"/>
    </xf>
    <xf numFmtId="0" fontId="1150" fillId="0" borderId="1" xfId="0" applyFont="1" applyBorder="1" applyAlignment="1">
      <alignment horizontal="left" vertical="center" wrapText="1" indent="1"/>
    </xf>
    <xf numFmtId="0" fontId="1151" fillId="0" borderId="1" xfId="0" applyFont="1" applyBorder="1" applyAlignment="1">
      <alignment horizontal="left" vertical="center" wrapText="1" indent="1"/>
    </xf>
    <xf numFmtId="0" fontId="1152" fillId="0" borderId="1" xfId="0" applyFont="1" applyBorder="1" applyAlignment="1">
      <alignment horizontal="left" vertical="center" wrapText="1" indent="1"/>
    </xf>
    <xf numFmtId="0" fontId="1153" fillId="0" borderId="1" xfId="0" applyFont="1" applyBorder="1" applyAlignment="1">
      <alignment horizontal="left" vertical="center" wrapText="1" indent="1"/>
    </xf>
    <xf numFmtId="0" fontId="1154" fillId="0" borderId="1" xfId="0" applyFont="1" applyBorder="1" applyAlignment="1">
      <alignment horizontal="left" vertical="center" wrapText="1" indent="1"/>
    </xf>
    <xf numFmtId="0" fontId="1155" fillId="0" borderId="1" xfId="0" applyFont="1" applyBorder="1" applyAlignment="1">
      <alignment horizontal="left" vertical="center" wrapText="1" indent="1"/>
    </xf>
    <xf numFmtId="0" fontId="1156" fillId="0" borderId="1" xfId="0" applyFont="1" applyBorder="1" applyAlignment="1">
      <alignment horizontal="left" vertical="center" wrapText="1" indent="1"/>
    </xf>
    <xf numFmtId="0" fontId="1157" fillId="0" borderId="1" xfId="0" applyFont="1" applyBorder="1" applyAlignment="1">
      <alignment horizontal="left" vertical="center" wrapText="1" indent="1"/>
    </xf>
    <xf numFmtId="0" fontId="1158" fillId="0" borderId="1" xfId="0" applyFont="1" applyBorder="1" applyAlignment="1">
      <alignment horizontal="left" vertical="center" wrapText="1" indent="1"/>
    </xf>
    <xf numFmtId="0" fontId="1159" fillId="0" borderId="1" xfId="0" applyFont="1" applyBorder="1" applyAlignment="1">
      <alignment horizontal="left" vertical="center" wrapText="1" indent="1"/>
    </xf>
    <xf numFmtId="0" fontId="1160" fillId="0" borderId="1" xfId="0" applyFont="1" applyBorder="1" applyAlignment="1">
      <alignment horizontal="left" vertical="center" wrapText="1" indent="1"/>
    </xf>
    <xf numFmtId="0" fontId="1161" fillId="0" borderId="1" xfId="0" applyFont="1" applyBorder="1" applyAlignment="1">
      <alignment horizontal="left" vertical="center" wrapText="1" indent="1"/>
    </xf>
    <xf numFmtId="0" fontId="1162" fillId="0" borderId="1" xfId="0" applyFont="1" applyBorder="1" applyAlignment="1">
      <alignment horizontal="left" vertical="center" wrapText="1" indent="1"/>
    </xf>
    <xf numFmtId="0" fontId="1163" fillId="0" borderId="1" xfId="0" applyFont="1" applyBorder="1" applyAlignment="1">
      <alignment horizontal="left" vertical="center" wrapText="1" indent="1"/>
    </xf>
    <xf numFmtId="0" fontId="1164" fillId="0" borderId="1" xfId="0" applyFont="1" applyBorder="1" applyAlignment="1">
      <alignment horizontal="left" vertical="center" wrapText="1" indent="1"/>
    </xf>
    <xf numFmtId="0" fontId="1165" fillId="0" borderId="1" xfId="0" applyFont="1" applyBorder="1" applyAlignment="1">
      <alignment horizontal="left" vertical="center" wrapText="1" indent="1"/>
    </xf>
    <xf numFmtId="0" fontId="1166" fillId="0" borderId="1" xfId="0" applyFont="1" applyBorder="1" applyAlignment="1">
      <alignment horizontal="left" vertical="center" wrapText="1" indent="1"/>
    </xf>
    <xf numFmtId="0" fontId="1167" fillId="0" borderId="1" xfId="0" applyFont="1" applyBorder="1" applyAlignment="1">
      <alignment horizontal="left" vertical="center" wrapText="1" indent="1"/>
    </xf>
    <xf numFmtId="0" fontId="1168" fillId="0" borderId="1" xfId="0" applyFont="1" applyBorder="1" applyAlignment="1">
      <alignment horizontal="left" vertical="center" wrapText="1" indent="1"/>
    </xf>
    <xf numFmtId="0" fontId="1169" fillId="0" borderId="1" xfId="0" applyFont="1" applyBorder="1" applyAlignment="1">
      <alignment horizontal="left" vertical="center" wrapText="1" indent="1"/>
    </xf>
    <xf numFmtId="0" fontId="1170" fillId="0" borderId="1" xfId="0" applyFont="1" applyBorder="1" applyAlignment="1">
      <alignment horizontal="left" vertical="center" wrapText="1" indent="1"/>
    </xf>
    <xf numFmtId="0" fontId="1171" fillId="0" borderId="1" xfId="0" applyFont="1" applyBorder="1" applyAlignment="1">
      <alignment horizontal="left" vertical="center" wrapText="1" indent="1"/>
    </xf>
    <xf numFmtId="0" fontId="1172" fillId="0" borderId="1" xfId="0" applyFont="1" applyBorder="1" applyAlignment="1">
      <alignment horizontal="left" vertical="center" wrapText="1" indent="1"/>
    </xf>
    <xf numFmtId="0" fontId="1173" fillId="0" borderId="1" xfId="0" applyFont="1" applyBorder="1" applyAlignment="1">
      <alignment horizontal="left" vertical="center" wrapText="1" indent="1"/>
    </xf>
    <xf numFmtId="0" fontId="1174" fillId="0" borderId="1" xfId="0" applyFont="1" applyBorder="1" applyAlignment="1">
      <alignment horizontal="left" vertical="center" wrapText="1" indent="1"/>
    </xf>
    <xf numFmtId="0" fontId="1175" fillId="0" borderId="1" xfId="0" applyFont="1" applyBorder="1" applyAlignment="1">
      <alignment horizontal="left" vertical="center" wrapText="1" indent="1"/>
    </xf>
    <xf numFmtId="0" fontId="1176" fillId="0" borderId="1" xfId="0" applyFont="1" applyBorder="1" applyAlignment="1">
      <alignment horizontal="left" vertical="center" wrapText="1" indent="1"/>
    </xf>
    <xf numFmtId="0" fontId="1177" fillId="0" borderId="1" xfId="0" applyFont="1" applyBorder="1" applyAlignment="1">
      <alignment horizontal="left" vertical="center" wrapText="1" indent="1"/>
    </xf>
    <xf numFmtId="0" fontId="1178" fillId="0" borderId="1" xfId="0" applyFont="1" applyBorder="1" applyAlignment="1">
      <alignment horizontal="left" vertical="center" wrapText="1" indent="1"/>
    </xf>
    <xf numFmtId="0" fontId="1179" fillId="0" borderId="1" xfId="0" applyFont="1" applyBorder="1" applyAlignment="1">
      <alignment horizontal="left" vertical="center" wrapText="1" indent="1"/>
    </xf>
    <xf numFmtId="0" fontId="1180" fillId="0" borderId="1" xfId="0" applyFont="1" applyBorder="1" applyAlignment="1">
      <alignment horizontal="left" vertical="center" wrapText="1" indent="1"/>
    </xf>
    <xf numFmtId="0" fontId="1181" fillId="0" borderId="1" xfId="0" applyFont="1" applyBorder="1" applyAlignment="1">
      <alignment horizontal="left" vertical="center" wrapText="1" indent="1"/>
    </xf>
    <xf numFmtId="0" fontId="1182" fillId="0" borderId="1" xfId="0" applyFont="1" applyBorder="1" applyAlignment="1">
      <alignment horizontal="left" vertical="center" wrapText="1" indent="1"/>
    </xf>
    <xf numFmtId="0" fontId="1183" fillId="0" borderId="1" xfId="0" applyFont="1" applyBorder="1" applyAlignment="1">
      <alignment horizontal="left" vertical="center" wrapText="1" indent="1"/>
    </xf>
    <xf numFmtId="0" fontId="1184" fillId="0" borderId="1" xfId="0" applyFont="1" applyBorder="1" applyAlignment="1">
      <alignment horizontal="left" vertical="center" wrapText="1" indent="1"/>
    </xf>
    <xf numFmtId="0" fontId="1185" fillId="0" borderId="1" xfId="0" applyFont="1" applyBorder="1" applyAlignment="1">
      <alignment horizontal="left" vertical="center" wrapText="1" indent="1"/>
    </xf>
    <xf numFmtId="0" fontId="1186" fillId="0" borderId="1" xfId="0" applyFont="1" applyBorder="1" applyAlignment="1">
      <alignment horizontal="left" vertical="center" wrapText="1" indent="1"/>
    </xf>
    <xf numFmtId="0" fontId="1187" fillId="0" borderId="1" xfId="0" applyFont="1" applyBorder="1" applyAlignment="1">
      <alignment horizontal="left" vertical="center" wrapText="1" indent="1"/>
    </xf>
    <xf numFmtId="0" fontId="1188" fillId="0" borderId="1" xfId="0" applyFont="1" applyBorder="1" applyAlignment="1">
      <alignment horizontal="left" vertical="center" wrapText="1" indent="1"/>
    </xf>
    <xf numFmtId="0" fontId="1189" fillId="0" borderId="1" xfId="0" applyFont="1" applyBorder="1" applyAlignment="1">
      <alignment horizontal="left" vertical="center" wrapText="1" indent="1"/>
    </xf>
    <xf numFmtId="0" fontId="1190" fillId="0" borderId="1" xfId="0" applyFont="1" applyBorder="1" applyAlignment="1">
      <alignment horizontal="left" vertical="center" wrapText="1" indent="1"/>
    </xf>
    <xf numFmtId="0" fontId="1191" fillId="0" borderId="1" xfId="0" applyFont="1" applyBorder="1" applyAlignment="1">
      <alignment horizontal="left" vertical="center" wrapText="1" indent="1"/>
    </xf>
    <xf numFmtId="0" fontId="1192" fillId="0" borderId="1" xfId="0" applyFont="1" applyBorder="1" applyAlignment="1">
      <alignment horizontal="left" vertical="center" wrapText="1" indent="1"/>
    </xf>
    <xf numFmtId="0" fontId="1193" fillId="0" borderId="1" xfId="0" applyFont="1" applyBorder="1" applyAlignment="1">
      <alignment horizontal="left" vertical="center" wrapText="1" indent="1"/>
    </xf>
    <xf numFmtId="0" fontId="1194" fillId="0" borderId="1" xfId="0" applyFont="1" applyBorder="1" applyAlignment="1">
      <alignment horizontal="left" vertical="center" wrapText="1" indent="1"/>
    </xf>
    <xf numFmtId="0" fontId="1195" fillId="0" borderId="1" xfId="0" applyFont="1" applyBorder="1" applyAlignment="1">
      <alignment horizontal="left" vertical="center" wrapText="1" indent="1"/>
    </xf>
    <xf numFmtId="0" fontId="1196" fillId="0" borderId="1" xfId="0" applyFont="1" applyBorder="1" applyAlignment="1">
      <alignment horizontal="left" vertical="center" wrapText="1" indent="1"/>
    </xf>
    <xf numFmtId="0" fontId="1197" fillId="0" borderId="1" xfId="0" applyFont="1" applyBorder="1" applyAlignment="1">
      <alignment horizontal="left" vertical="center" wrapText="1" indent="1"/>
    </xf>
    <xf numFmtId="0" fontId="1198" fillId="0" borderId="1" xfId="0" applyFont="1" applyBorder="1" applyAlignment="1">
      <alignment horizontal="left" vertical="center" wrapText="1" indent="1"/>
    </xf>
    <xf numFmtId="0" fontId="1199" fillId="0" borderId="1" xfId="0" applyFont="1" applyBorder="1" applyAlignment="1">
      <alignment horizontal="left" vertical="center" wrapText="1" indent="1"/>
    </xf>
    <xf numFmtId="0" fontId="1200" fillId="0" borderId="1" xfId="0" applyFont="1" applyBorder="1" applyAlignment="1">
      <alignment horizontal="left" vertical="center" wrapText="1" indent="1"/>
    </xf>
    <xf numFmtId="0" fontId="1201" fillId="0" borderId="1" xfId="0" applyFont="1" applyBorder="1" applyAlignment="1">
      <alignment horizontal="left" vertical="center" wrapText="1" indent="1"/>
    </xf>
    <xf numFmtId="0" fontId="1202" fillId="0" borderId="1" xfId="0" applyFont="1" applyBorder="1" applyAlignment="1">
      <alignment horizontal="left" vertical="center" wrapText="1" indent="1"/>
    </xf>
    <xf numFmtId="0" fontId="1203" fillId="0" borderId="1" xfId="0" applyFont="1" applyBorder="1" applyAlignment="1">
      <alignment horizontal="left" vertical="center" wrapText="1" indent="1"/>
    </xf>
    <xf numFmtId="0" fontId="1204" fillId="0" borderId="1" xfId="0" applyFont="1" applyBorder="1" applyAlignment="1">
      <alignment horizontal="left" vertical="center" wrapText="1" indent="1"/>
    </xf>
    <xf numFmtId="0" fontId="1205" fillId="0" borderId="1" xfId="0" applyFont="1" applyBorder="1" applyAlignment="1">
      <alignment horizontal="left" vertical="center" wrapText="1" indent="1"/>
    </xf>
    <xf numFmtId="0" fontId="1206" fillId="0" borderId="1" xfId="0" applyFont="1" applyBorder="1" applyAlignment="1">
      <alignment horizontal="left" vertical="center" wrapText="1" indent="1"/>
    </xf>
    <xf numFmtId="0" fontId="1207" fillId="0" borderId="1" xfId="0" applyFont="1" applyBorder="1" applyAlignment="1">
      <alignment horizontal="left" vertical="center" wrapText="1" indent="1"/>
    </xf>
    <xf numFmtId="0" fontId="1208" fillId="0" borderId="1" xfId="0" applyFont="1" applyBorder="1" applyAlignment="1">
      <alignment horizontal="left" vertical="center" wrapText="1" indent="1"/>
    </xf>
    <xf numFmtId="0" fontId="1209" fillId="0" borderId="1" xfId="0" applyFont="1" applyBorder="1" applyAlignment="1">
      <alignment horizontal="left" vertical="center" wrapText="1" indent="1"/>
    </xf>
    <xf numFmtId="0" fontId="1210" fillId="0" borderId="1" xfId="0" applyFont="1" applyBorder="1" applyAlignment="1">
      <alignment horizontal="left" vertical="center" wrapText="1" indent="1"/>
    </xf>
    <xf numFmtId="0" fontId="1211" fillId="0" borderId="1" xfId="0" applyFont="1" applyBorder="1" applyAlignment="1">
      <alignment horizontal="left" vertical="center" wrapText="1" indent="1"/>
    </xf>
    <xf numFmtId="0" fontId="1212" fillId="0" borderId="1" xfId="0" applyFont="1" applyBorder="1" applyAlignment="1">
      <alignment horizontal="left" vertical="center" wrapText="1" indent="1"/>
    </xf>
    <xf numFmtId="0" fontId="1213" fillId="0" borderId="1" xfId="0" applyFont="1" applyBorder="1" applyAlignment="1">
      <alignment horizontal="left" vertical="center" wrapText="1" indent="1"/>
    </xf>
    <xf numFmtId="0" fontId="1214" fillId="0" borderId="1" xfId="0" applyFont="1" applyBorder="1" applyAlignment="1">
      <alignment horizontal="left" vertical="center" wrapText="1" indent="1"/>
    </xf>
    <xf numFmtId="0" fontId="1215" fillId="0" borderId="1" xfId="0" applyFont="1" applyBorder="1" applyAlignment="1">
      <alignment horizontal="left" vertical="center" wrapText="1" indent="1"/>
    </xf>
    <xf numFmtId="0" fontId="1216" fillId="0" borderId="1" xfId="0" applyFont="1" applyBorder="1" applyAlignment="1">
      <alignment horizontal="left" vertical="center" wrapText="1" indent="1"/>
    </xf>
    <xf numFmtId="0" fontId="1217" fillId="0" borderId="1" xfId="0" applyFont="1" applyBorder="1" applyAlignment="1">
      <alignment horizontal="left" vertical="center" wrapText="1" indent="1"/>
    </xf>
    <xf numFmtId="0" fontId="1218" fillId="0" borderId="1" xfId="0" applyFont="1" applyBorder="1" applyAlignment="1">
      <alignment horizontal="left" vertical="center" wrapText="1" indent="1"/>
    </xf>
    <xf numFmtId="0" fontId="1219" fillId="0" borderId="1" xfId="0" applyFont="1" applyBorder="1" applyAlignment="1">
      <alignment horizontal="left" vertical="center" wrapText="1" indent="1"/>
    </xf>
    <xf numFmtId="0" fontId="1220" fillId="0" borderId="1" xfId="0" applyFont="1" applyBorder="1" applyAlignment="1">
      <alignment horizontal="left" vertical="center" wrapText="1" indent="1"/>
    </xf>
    <xf numFmtId="0" fontId="1221" fillId="0" borderId="1" xfId="0" applyFont="1" applyBorder="1" applyAlignment="1">
      <alignment horizontal="left" vertical="center" wrapText="1" indent="1"/>
    </xf>
    <xf numFmtId="0" fontId="1222" fillId="0" borderId="1" xfId="0" applyFont="1" applyBorder="1" applyAlignment="1">
      <alignment horizontal="left" vertical="center" wrapText="1" indent="1"/>
    </xf>
    <xf numFmtId="0" fontId="1223" fillId="0" borderId="1" xfId="0" applyFont="1" applyBorder="1" applyAlignment="1">
      <alignment horizontal="left" vertical="center" wrapText="1" indent="1"/>
    </xf>
    <xf numFmtId="0" fontId="1224" fillId="0" borderId="1" xfId="0" applyFont="1" applyBorder="1" applyAlignment="1">
      <alignment horizontal="left" vertical="center" wrapText="1" indent="1"/>
    </xf>
    <xf numFmtId="0" fontId="1225" fillId="0" borderId="1" xfId="0" applyFont="1" applyBorder="1" applyAlignment="1">
      <alignment horizontal="left" vertical="center" wrapText="1" indent="1"/>
    </xf>
    <xf numFmtId="0" fontId="1226" fillId="0" borderId="1" xfId="0" applyFont="1" applyBorder="1" applyAlignment="1">
      <alignment horizontal="left" vertical="center" wrapText="1" indent="1"/>
    </xf>
    <xf numFmtId="0" fontId="1227" fillId="0" borderId="1" xfId="0" applyFont="1" applyBorder="1" applyAlignment="1">
      <alignment horizontal="left" vertical="center" wrapText="1" indent="1"/>
    </xf>
    <xf numFmtId="0" fontId="1228" fillId="0" borderId="1" xfId="0" applyFont="1" applyBorder="1" applyAlignment="1">
      <alignment horizontal="left" vertical="center" wrapText="1" indent="1"/>
    </xf>
    <xf numFmtId="0" fontId="1229" fillId="0" borderId="1" xfId="0" applyFont="1" applyBorder="1" applyAlignment="1">
      <alignment horizontal="left" vertical="center" wrapText="1" indent="1"/>
    </xf>
    <xf numFmtId="0" fontId="1230" fillId="0" borderId="1" xfId="0" applyFont="1" applyBorder="1" applyAlignment="1">
      <alignment horizontal="left" vertical="center" wrapText="1" indent="1"/>
    </xf>
    <xf numFmtId="0" fontId="1231" fillId="0" borderId="1" xfId="0" applyFont="1" applyBorder="1" applyAlignment="1">
      <alignment horizontal="left" vertical="center" wrapText="1" indent="1"/>
    </xf>
    <xf numFmtId="0" fontId="1232" fillId="0" borderId="1" xfId="0" applyFont="1" applyBorder="1" applyAlignment="1">
      <alignment horizontal="left" vertical="center" wrapText="1" indent="1"/>
    </xf>
    <xf numFmtId="0" fontId="1233" fillId="0" borderId="1" xfId="0" applyFont="1" applyBorder="1" applyAlignment="1">
      <alignment horizontal="left" vertical="center" wrapText="1" indent="1"/>
    </xf>
    <xf numFmtId="0" fontId="1234" fillId="0" borderId="1" xfId="0" applyFont="1" applyBorder="1" applyAlignment="1">
      <alignment horizontal="left" vertical="center" wrapText="1" indent="1"/>
    </xf>
    <xf numFmtId="0" fontId="1235" fillId="0" borderId="1" xfId="0" applyFont="1" applyBorder="1" applyAlignment="1">
      <alignment horizontal="left" vertical="center" wrapText="1" indent="1"/>
    </xf>
    <xf numFmtId="0" fontId="1236" fillId="0" borderId="1" xfId="0" applyFont="1" applyBorder="1" applyAlignment="1">
      <alignment horizontal="left" vertical="center" wrapText="1" indent="1"/>
    </xf>
    <xf numFmtId="0" fontId="1237" fillId="0" borderId="1" xfId="0" applyFont="1" applyBorder="1" applyAlignment="1">
      <alignment horizontal="left" vertical="center" wrapText="1" indent="1"/>
    </xf>
    <xf numFmtId="0" fontId="1238" fillId="0" borderId="1" xfId="0" applyFont="1" applyBorder="1" applyAlignment="1">
      <alignment horizontal="left" vertical="center" wrapText="1" indent="1"/>
    </xf>
    <xf numFmtId="0" fontId="1239" fillId="0" borderId="1" xfId="0" applyFont="1" applyBorder="1" applyAlignment="1">
      <alignment horizontal="left" vertical="center" wrapText="1" indent="1"/>
    </xf>
    <xf numFmtId="0" fontId="1240" fillId="0" borderId="1" xfId="0" applyFont="1" applyBorder="1" applyAlignment="1">
      <alignment horizontal="left" vertical="center" wrapText="1" indent="1"/>
    </xf>
    <xf numFmtId="0" fontId="1241" fillId="0" borderId="1" xfId="0" applyFont="1" applyBorder="1" applyAlignment="1">
      <alignment horizontal="left" vertical="center" wrapText="1" indent="1"/>
    </xf>
    <xf numFmtId="0" fontId="1242" fillId="0" borderId="1" xfId="0" applyFont="1" applyBorder="1" applyAlignment="1">
      <alignment horizontal="left" vertical="center" wrapText="1" indent="1"/>
    </xf>
    <xf numFmtId="0" fontId="1243" fillId="0" borderId="1" xfId="0" applyFont="1" applyBorder="1" applyAlignment="1">
      <alignment horizontal="left" vertical="center" wrapText="1" indent="1"/>
    </xf>
    <xf numFmtId="0" fontId="1244" fillId="0" borderId="1" xfId="0" applyFont="1" applyBorder="1" applyAlignment="1">
      <alignment horizontal="left" vertical="center" wrapText="1" indent="1"/>
    </xf>
    <xf numFmtId="0" fontId="1245" fillId="0" borderId="1" xfId="0" applyFont="1" applyBorder="1" applyAlignment="1">
      <alignment horizontal="left" vertical="center" wrapText="1" indent="1"/>
    </xf>
    <xf numFmtId="0" fontId="1246" fillId="0" borderId="1" xfId="0" applyFont="1" applyBorder="1" applyAlignment="1">
      <alignment horizontal="left" vertical="center" wrapText="1" indent="1"/>
    </xf>
    <xf numFmtId="0" fontId="1247" fillId="0" borderId="1" xfId="0" applyFont="1" applyBorder="1" applyAlignment="1">
      <alignment horizontal="left" vertical="center" wrapText="1" indent="1"/>
    </xf>
    <xf numFmtId="0" fontId="1248" fillId="0" borderId="1" xfId="0" applyFont="1" applyBorder="1" applyAlignment="1">
      <alignment horizontal="left" vertical="center" wrapText="1" indent="1"/>
    </xf>
    <xf numFmtId="0" fontId="1249" fillId="0" borderId="1" xfId="0" applyFont="1" applyBorder="1" applyAlignment="1">
      <alignment horizontal="left" vertical="center" wrapText="1" indent="1"/>
    </xf>
    <xf numFmtId="0" fontId="1250" fillId="0" borderId="1" xfId="0" applyFont="1" applyBorder="1" applyAlignment="1">
      <alignment horizontal="left" vertical="center" wrapText="1" indent="1"/>
    </xf>
    <xf numFmtId="0" fontId="1251" fillId="0" borderId="1" xfId="0" applyFont="1" applyBorder="1" applyAlignment="1">
      <alignment horizontal="left" vertical="center" wrapText="1" indent="1"/>
    </xf>
    <xf numFmtId="0" fontId="1252" fillId="0" borderId="1" xfId="0" applyFont="1" applyBorder="1" applyAlignment="1">
      <alignment horizontal="left" vertical="center" wrapText="1" indent="1"/>
    </xf>
    <xf numFmtId="0" fontId="1253" fillId="0" borderId="1" xfId="0" applyFont="1" applyBorder="1" applyAlignment="1">
      <alignment horizontal="left" vertical="center" wrapText="1" indent="1"/>
    </xf>
    <xf numFmtId="0" fontId="1254" fillId="0" borderId="1" xfId="0" applyFont="1" applyBorder="1" applyAlignment="1">
      <alignment horizontal="left" vertical="center" wrapText="1" indent="1"/>
    </xf>
    <xf numFmtId="0" fontId="1255" fillId="0" borderId="1" xfId="0" applyFont="1" applyBorder="1" applyAlignment="1">
      <alignment horizontal="left" vertical="center" wrapText="1" indent="1"/>
    </xf>
    <xf numFmtId="0" fontId="1256" fillId="0" borderId="1" xfId="0" applyFont="1" applyBorder="1" applyAlignment="1">
      <alignment horizontal="left" vertical="center" wrapText="1" indent="1"/>
    </xf>
    <xf numFmtId="0" fontId="1257" fillId="0" borderId="1" xfId="0" applyFont="1" applyBorder="1" applyAlignment="1">
      <alignment horizontal="left" vertical="center" wrapText="1" indent="1"/>
    </xf>
    <xf numFmtId="0" fontId="1258" fillId="0" borderId="1" xfId="0" applyFont="1" applyBorder="1" applyAlignment="1">
      <alignment horizontal="left" vertical="center" wrapText="1" indent="1"/>
    </xf>
    <xf numFmtId="0" fontId="1259" fillId="0" borderId="1" xfId="0" applyFont="1" applyBorder="1" applyAlignment="1">
      <alignment horizontal="left" vertical="center" wrapText="1" indent="1"/>
    </xf>
    <xf numFmtId="0" fontId="1260" fillId="0" borderId="1" xfId="0" applyFont="1" applyBorder="1" applyAlignment="1">
      <alignment horizontal="left" vertical="center" wrapText="1" indent="1"/>
    </xf>
    <xf numFmtId="0" fontId="1261" fillId="0" borderId="1" xfId="0" applyFont="1" applyBorder="1" applyAlignment="1">
      <alignment horizontal="left" vertical="center" wrapText="1" indent="1"/>
    </xf>
    <xf numFmtId="0" fontId="1262" fillId="0" borderId="1" xfId="0" applyFont="1" applyBorder="1" applyAlignment="1">
      <alignment horizontal="left" vertical="center" wrapText="1" indent="1"/>
    </xf>
    <xf numFmtId="0" fontId="1263" fillId="0" borderId="1" xfId="0" applyFont="1" applyBorder="1" applyAlignment="1">
      <alignment horizontal="left" vertical="center" wrapText="1" indent="1"/>
    </xf>
    <xf numFmtId="0" fontId="1264" fillId="0" borderId="1" xfId="0" applyFont="1" applyBorder="1" applyAlignment="1">
      <alignment horizontal="left" vertical="center" wrapText="1" indent="1"/>
    </xf>
    <xf numFmtId="0" fontId="1265" fillId="0" borderId="1" xfId="0" applyFont="1" applyBorder="1" applyAlignment="1">
      <alignment horizontal="left" vertical="center" wrapText="1" indent="1"/>
    </xf>
    <xf numFmtId="0" fontId="1266" fillId="0" borderId="1" xfId="0" applyFont="1" applyBorder="1" applyAlignment="1">
      <alignment horizontal="left" vertical="center" wrapText="1" indent="1"/>
    </xf>
    <xf numFmtId="0" fontId="1267" fillId="0" borderId="1" xfId="0" applyFont="1" applyBorder="1" applyAlignment="1">
      <alignment horizontal="left" vertical="center" wrapText="1" indent="1"/>
    </xf>
    <xf numFmtId="0" fontId="1268" fillId="0" borderId="1" xfId="0" applyFont="1" applyBorder="1" applyAlignment="1">
      <alignment horizontal="left" vertical="center" wrapText="1" indent="1"/>
    </xf>
    <xf numFmtId="0" fontId="1269" fillId="0" borderId="1" xfId="0" applyFont="1" applyBorder="1" applyAlignment="1">
      <alignment horizontal="left" vertical="center" wrapText="1" indent="1"/>
    </xf>
    <xf numFmtId="0" fontId="1270" fillId="0" borderId="1" xfId="0" applyFont="1" applyBorder="1" applyAlignment="1">
      <alignment horizontal="left" vertical="center" wrapText="1" indent="1"/>
    </xf>
    <xf numFmtId="0" fontId="1271" fillId="0" borderId="1" xfId="0" applyFont="1" applyBorder="1" applyAlignment="1">
      <alignment horizontal="left" vertical="center" wrapText="1" indent="1"/>
    </xf>
    <xf numFmtId="0" fontId="1272" fillId="0" borderId="1" xfId="0" applyFont="1" applyBorder="1" applyAlignment="1">
      <alignment horizontal="left" vertical="center" wrapText="1" indent="1"/>
    </xf>
    <xf numFmtId="0" fontId="1273" fillId="0" borderId="1" xfId="0" applyFont="1" applyBorder="1" applyAlignment="1">
      <alignment horizontal="left" vertical="center" wrapText="1" indent="1"/>
    </xf>
    <xf numFmtId="0" fontId="1274" fillId="0" borderId="1" xfId="0" applyFont="1" applyBorder="1" applyAlignment="1">
      <alignment horizontal="left" vertical="center" wrapText="1" indent="1"/>
    </xf>
    <xf numFmtId="0" fontId="1275" fillId="0" borderId="1" xfId="0" applyFont="1" applyBorder="1" applyAlignment="1">
      <alignment horizontal="left" vertical="center" wrapText="1" indent="1"/>
    </xf>
    <xf numFmtId="0" fontId="1276" fillId="0" borderId="1" xfId="0" applyFont="1" applyBorder="1" applyAlignment="1">
      <alignment horizontal="left" vertical="center" wrapText="1" indent="1"/>
    </xf>
    <xf numFmtId="0" fontId="1277" fillId="0" borderId="1" xfId="0" applyFont="1" applyBorder="1" applyAlignment="1">
      <alignment horizontal="left" vertical="center" wrapText="1" indent="1"/>
    </xf>
    <xf numFmtId="0" fontId="1278" fillId="0" borderId="1" xfId="0" applyFont="1" applyBorder="1" applyAlignment="1">
      <alignment horizontal="left" vertical="center" wrapText="1" indent="1"/>
    </xf>
    <xf numFmtId="0" fontId="1279" fillId="0" borderId="1" xfId="0" applyFont="1" applyBorder="1" applyAlignment="1">
      <alignment horizontal="left" vertical="center" wrapText="1" indent="1"/>
    </xf>
    <xf numFmtId="0" fontId="1280" fillId="0" borderId="1" xfId="0" applyFont="1" applyBorder="1" applyAlignment="1">
      <alignment horizontal="left" vertical="center" wrapText="1" indent="1"/>
    </xf>
    <xf numFmtId="0" fontId="1281" fillId="0" borderId="1" xfId="0" applyFont="1" applyBorder="1" applyAlignment="1">
      <alignment horizontal="left" vertical="center" wrapText="1" indent="1"/>
    </xf>
    <xf numFmtId="0" fontId="1282" fillId="0" borderId="1" xfId="0" applyFont="1" applyBorder="1" applyAlignment="1">
      <alignment horizontal="left" vertical="center" wrapText="1" indent="1"/>
    </xf>
    <xf numFmtId="0" fontId="1283" fillId="0" borderId="1" xfId="0" applyFont="1" applyBorder="1" applyAlignment="1">
      <alignment horizontal="left" vertical="center" wrapText="1" indent="1"/>
    </xf>
    <xf numFmtId="0" fontId="1284" fillId="0" borderId="1" xfId="0" applyFont="1" applyBorder="1" applyAlignment="1">
      <alignment horizontal="left" vertical="center" wrapText="1" indent="1"/>
    </xf>
    <xf numFmtId="0" fontId="1285" fillId="0" borderId="1" xfId="0" applyFont="1" applyBorder="1" applyAlignment="1">
      <alignment horizontal="left" vertical="center" wrapText="1" indent="1"/>
    </xf>
    <xf numFmtId="0" fontId="1286" fillId="0" borderId="1" xfId="0" applyFont="1" applyBorder="1" applyAlignment="1">
      <alignment horizontal="left" vertical="center" wrapText="1" indent="1"/>
    </xf>
    <xf numFmtId="0" fontId="1287" fillId="0" borderId="1" xfId="0" applyFont="1" applyBorder="1" applyAlignment="1">
      <alignment horizontal="left" vertical="center" wrapText="1" indent="1"/>
    </xf>
    <xf numFmtId="0" fontId="1288" fillId="0" borderId="1" xfId="0" applyFont="1" applyBorder="1" applyAlignment="1">
      <alignment horizontal="left" vertical="center" wrapText="1" indent="1"/>
    </xf>
    <xf numFmtId="0" fontId="1289" fillId="0" borderId="1" xfId="0" applyFont="1" applyBorder="1" applyAlignment="1">
      <alignment horizontal="left" vertical="center" wrapText="1" indent="1"/>
    </xf>
    <xf numFmtId="0" fontId="1290" fillId="0" borderId="1" xfId="0" applyFont="1" applyBorder="1" applyAlignment="1">
      <alignment horizontal="left" vertical="center" wrapText="1" indent="1"/>
    </xf>
    <xf numFmtId="0" fontId="1291" fillId="0" borderId="1" xfId="0" applyFont="1" applyBorder="1" applyAlignment="1">
      <alignment horizontal="left" vertical="center" wrapText="1" indent="1"/>
    </xf>
    <xf numFmtId="0" fontId="1292" fillId="0" borderId="1" xfId="0" applyFont="1" applyBorder="1" applyAlignment="1">
      <alignment horizontal="left" vertical="center" wrapText="1" indent="1"/>
    </xf>
    <xf numFmtId="0" fontId="1293" fillId="0" borderId="1" xfId="0" applyFont="1" applyBorder="1" applyAlignment="1">
      <alignment horizontal="left" vertical="center" wrapText="1" indent="1"/>
    </xf>
    <xf numFmtId="0" fontId="1294" fillId="0" borderId="1" xfId="0" applyFont="1" applyBorder="1" applyAlignment="1">
      <alignment horizontal="left" vertical="center" wrapText="1" indent="1"/>
    </xf>
    <xf numFmtId="0" fontId="1295" fillId="0" borderId="1" xfId="0" applyFont="1" applyBorder="1" applyAlignment="1">
      <alignment horizontal="left" vertical="center" wrapText="1" indent="1"/>
    </xf>
    <xf numFmtId="0" fontId="1296" fillId="0" borderId="1" xfId="0" applyFont="1" applyBorder="1" applyAlignment="1">
      <alignment horizontal="left" vertical="center" wrapText="1" indent="1"/>
    </xf>
    <xf numFmtId="0" fontId="1297" fillId="0" borderId="1" xfId="0" applyFont="1" applyBorder="1" applyAlignment="1">
      <alignment horizontal="left" vertical="center" wrapText="1" indent="1"/>
    </xf>
    <xf numFmtId="0" fontId="1298" fillId="0" borderId="1" xfId="0" applyFont="1" applyBorder="1" applyAlignment="1">
      <alignment horizontal="left" vertical="center" wrapText="1" indent="1"/>
    </xf>
    <xf numFmtId="0" fontId="1299" fillId="0" borderId="1" xfId="0" applyFont="1" applyBorder="1" applyAlignment="1">
      <alignment horizontal="left" vertical="center" wrapText="1" indent="1"/>
    </xf>
    <xf numFmtId="0" fontId="1300" fillId="0" borderId="1" xfId="0" applyFont="1" applyBorder="1" applyAlignment="1">
      <alignment horizontal="left" vertical="center" wrapText="1" indent="1"/>
    </xf>
    <xf numFmtId="0" fontId="1301" fillId="0" borderId="1" xfId="0" applyFont="1" applyBorder="1" applyAlignment="1">
      <alignment horizontal="left" vertical="center" wrapText="1" indent="1"/>
    </xf>
    <xf numFmtId="0" fontId="1302" fillId="0" borderId="1" xfId="0" applyFont="1" applyBorder="1" applyAlignment="1">
      <alignment horizontal="left" vertical="center" wrapText="1" indent="1"/>
    </xf>
    <xf numFmtId="0" fontId="1303" fillId="0" borderId="1" xfId="0" applyFont="1" applyBorder="1" applyAlignment="1">
      <alignment horizontal="left" vertical="center" wrapText="1" indent="1"/>
    </xf>
    <xf numFmtId="0" fontId="1304" fillId="0" borderId="1" xfId="0" applyFont="1" applyBorder="1" applyAlignment="1">
      <alignment horizontal="left" vertical="center" wrapText="1" indent="1"/>
    </xf>
    <xf numFmtId="0" fontId="1305" fillId="0" borderId="1" xfId="0" applyFont="1" applyBorder="1" applyAlignment="1">
      <alignment horizontal="left" vertical="center" wrapText="1" indent="1"/>
    </xf>
    <xf numFmtId="0" fontId="1306" fillId="0" borderId="1" xfId="0" applyFont="1" applyBorder="1" applyAlignment="1">
      <alignment horizontal="left" vertical="center" wrapText="1" indent="1"/>
    </xf>
    <xf numFmtId="0" fontId="1307" fillId="0" borderId="1" xfId="0" applyFont="1" applyBorder="1" applyAlignment="1">
      <alignment horizontal="left" vertical="center" wrapText="1" indent="1"/>
    </xf>
    <xf numFmtId="0" fontId="1308" fillId="0" borderId="1" xfId="0" applyFont="1" applyBorder="1" applyAlignment="1">
      <alignment horizontal="left" vertical="center" wrapText="1" indent="1"/>
    </xf>
    <xf numFmtId="0" fontId="1309" fillId="0" borderId="1" xfId="0" applyFont="1" applyBorder="1" applyAlignment="1">
      <alignment horizontal="left" vertical="center" wrapText="1" indent="1"/>
    </xf>
    <xf numFmtId="0" fontId="1310" fillId="0" borderId="1" xfId="0" applyFont="1" applyBorder="1" applyAlignment="1">
      <alignment horizontal="left" vertical="center" wrapText="1" indent="1"/>
    </xf>
    <xf numFmtId="0" fontId="1311" fillId="0" borderId="1" xfId="0" applyFont="1" applyBorder="1" applyAlignment="1">
      <alignment horizontal="left" vertical="center" wrapText="1" indent="1"/>
    </xf>
    <xf numFmtId="0" fontId="1312" fillId="0" borderId="1" xfId="0" applyFont="1" applyBorder="1" applyAlignment="1">
      <alignment horizontal="left" vertical="center" wrapText="1" indent="1"/>
    </xf>
    <xf numFmtId="0" fontId="1313" fillId="0" borderId="1" xfId="0" applyFont="1" applyBorder="1" applyAlignment="1">
      <alignment horizontal="left" vertical="center" wrapText="1" indent="1"/>
    </xf>
    <xf numFmtId="0" fontId="1314" fillId="0" borderId="1" xfId="0" applyFont="1" applyBorder="1" applyAlignment="1">
      <alignment horizontal="left" vertical="center" wrapText="1" indent="1"/>
    </xf>
    <xf numFmtId="0" fontId="1315" fillId="0" borderId="1" xfId="0" applyFont="1" applyBorder="1" applyAlignment="1">
      <alignment horizontal="left" vertical="center" wrapText="1" indent="1"/>
    </xf>
    <xf numFmtId="0" fontId="1316" fillId="0" borderId="1" xfId="0" applyFont="1" applyBorder="1" applyAlignment="1">
      <alignment horizontal="left" vertical="center" wrapText="1" indent="1"/>
    </xf>
    <xf numFmtId="0" fontId="1317" fillId="0" borderId="1" xfId="0" applyFont="1" applyBorder="1" applyAlignment="1">
      <alignment horizontal="left" vertical="center" wrapText="1" indent="1"/>
    </xf>
    <xf numFmtId="0" fontId="1318" fillId="0" borderId="1" xfId="0" applyFont="1" applyBorder="1" applyAlignment="1">
      <alignment horizontal="left" vertical="center" wrapText="1" indent="1"/>
    </xf>
    <xf numFmtId="0" fontId="1319" fillId="0" borderId="1" xfId="0" applyFont="1" applyBorder="1" applyAlignment="1">
      <alignment horizontal="left" vertical="center" wrapText="1" indent="1"/>
    </xf>
    <xf numFmtId="0" fontId="1320" fillId="0" borderId="1" xfId="0" applyFont="1" applyBorder="1" applyAlignment="1">
      <alignment horizontal="left" vertical="center" wrapText="1" indent="1"/>
    </xf>
    <xf numFmtId="0" fontId="1321" fillId="0" borderId="1" xfId="0" applyFont="1" applyBorder="1" applyAlignment="1">
      <alignment horizontal="left" vertical="center" wrapText="1" indent="1"/>
    </xf>
    <xf numFmtId="0" fontId="1322" fillId="0" borderId="1" xfId="0" applyFont="1" applyBorder="1" applyAlignment="1">
      <alignment horizontal="left" vertical="center" wrapText="1" indent="1"/>
    </xf>
    <xf numFmtId="0" fontId="1323" fillId="0" borderId="1" xfId="0" applyFont="1" applyBorder="1" applyAlignment="1">
      <alignment horizontal="left" vertical="center" wrapText="1" indent="1"/>
    </xf>
    <xf numFmtId="0" fontId="1324" fillId="0" borderId="1" xfId="0" applyFont="1" applyBorder="1" applyAlignment="1">
      <alignment horizontal="left" vertical="center" wrapText="1" indent="1"/>
    </xf>
    <xf numFmtId="0" fontId="1325" fillId="0" borderId="1" xfId="0" applyFont="1" applyBorder="1" applyAlignment="1">
      <alignment horizontal="left" vertical="center" wrapText="1" indent="1"/>
    </xf>
    <xf numFmtId="0" fontId="1326" fillId="0" borderId="1" xfId="0" applyFont="1" applyBorder="1" applyAlignment="1">
      <alignment horizontal="left" vertical="center" wrapText="1" indent="1"/>
    </xf>
    <xf numFmtId="0" fontId="1327" fillId="0" borderId="1" xfId="0" applyFont="1" applyBorder="1" applyAlignment="1">
      <alignment horizontal="left" vertical="center" wrapText="1" indent="1"/>
    </xf>
    <xf numFmtId="0" fontId="1328" fillId="0" borderId="1" xfId="0" applyFont="1" applyBorder="1" applyAlignment="1">
      <alignment horizontal="left" vertical="center" wrapText="1" indent="1"/>
    </xf>
    <xf numFmtId="0" fontId="1329" fillId="0" borderId="1" xfId="0" applyFont="1" applyBorder="1" applyAlignment="1">
      <alignment horizontal="left" vertical="center" wrapText="1" indent="1"/>
    </xf>
    <xf numFmtId="0" fontId="1330" fillId="0" borderId="1" xfId="0" applyFont="1" applyBorder="1" applyAlignment="1">
      <alignment horizontal="left" vertical="center" wrapText="1" indent="1"/>
    </xf>
    <xf numFmtId="0" fontId="1331" fillId="0" borderId="1" xfId="0" applyFont="1" applyBorder="1" applyAlignment="1">
      <alignment horizontal="left" vertical="center" wrapText="1" indent="1"/>
    </xf>
    <xf numFmtId="0" fontId="1332" fillId="0" borderId="1" xfId="0" applyFont="1" applyBorder="1" applyAlignment="1">
      <alignment horizontal="left" vertical="center" wrapText="1" indent="1"/>
    </xf>
    <xf numFmtId="0" fontId="1333" fillId="0" borderId="1" xfId="0" applyFont="1" applyBorder="1" applyAlignment="1">
      <alignment horizontal="left" vertical="center" wrapText="1" indent="1"/>
    </xf>
    <xf numFmtId="0" fontId="1334" fillId="0" borderId="1" xfId="0" applyFont="1" applyBorder="1" applyAlignment="1">
      <alignment horizontal="left" vertical="center" wrapText="1" indent="1"/>
    </xf>
    <xf numFmtId="0" fontId="1335" fillId="0" borderId="1" xfId="0" applyFont="1" applyBorder="1" applyAlignment="1">
      <alignment horizontal="left" vertical="center" wrapText="1" indent="1"/>
    </xf>
    <xf numFmtId="0" fontId="1336" fillId="0" borderId="1" xfId="0" applyFont="1" applyBorder="1" applyAlignment="1">
      <alignment horizontal="left" vertical="center" wrapText="1" indent="1"/>
    </xf>
    <xf numFmtId="0" fontId="1337" fillId="0" borderId="1" xfId="0" applyFont="1" applyBorder="1" applyAlignment="1">
      <alignment horizontal="left" vertical="center" wrapText="1" indent="1"/>
    </xf>
    <xf numFmtId="0" fontId="1338" fillId="0" borderId="1" xfId="0" applyFont="1" applyBorder="1" applyAlignment="1">
      <alignment horizontal="left" vertical="center" wrapText="1" indent="1"/>
    </xf>
    <xf numFmtId="0" fontId="1339" fillId="0" borderId="1" xfId="0" applyFont="1" applyBorder="1" applyAlignment="1">
      <alignment horizontal="left" vertical="center" wrapText="1" indent="1"/>
    </xf>
    <xf numFmtId="0" fontId="1340" fillId="0" borderId="1" xfId="0" applyFont="1" applyBorder="1" applyAlignment="1">
      <alignment horizontal="left" vertical="center" wrapText="1" indent="1"/>
    </xf>
    <xf numFmtId="0" fontId="1341" fillId="0" borderId="1" xfId="0" applyFont="1" applyBorder="1" applyAlignment="1">
      <alignment horizontal="left" vertical="center" wrapText="1" indent="1"/>
    </xf>
    <xf numFmtId="0" fontId="1342" fillId="0" borderId="1" xfId="0" applyFont="1" applyBorder="1" applyAlignment="1">
      <alignment horizontal="left" vertical="center" wrapText="1" indent="1"/>
    </xf>
    <xf numFmtId="0" fontId="1343" fillId="0" borderId="1" xfId="0" applyFont="1" applyBorder="1" applyAlignment="1">
      <alignment horizontal="left" vertical="center" wrapText="1" indent="1"/>
    </xf>
    <xf numFmtId="0" fontId="1344" fillId="0" borderId="1" xfId="0" applyFont="1" applyBorder="1" applyAlignment="1">
      <alignment horizontal="left" vertical="center" wrapText="1" indent="1"/>
    </xf>
    <xf numFmtId="0" fontId="1345" fillId="0" borderId="1" xfId="0" applyFont="1" applyBorder="1" applyAlignment="1">
      <alignment horizontal="left" vertical="center" wrapText="1" indent="1"/>
    </xf>
    <xf numFmtId="0" fontId="1346" fillId="0" borderId="1" xfId="0" applyFont="1" applyBorder="1" applyAlignment="1">
      <alignment horizontal="left" vertical="center" wrapText="1" indent="1"/>
    </xf>
    <xf numFmtId="0" fontId="1347" fillId="0" borderId="1" xfId="0" applyFont="1" applyBorder="1" applyAlignment="1">
      <alignment horizontal="left" vertical="center" wrapText="1" indent="1"/>
    </xf>
    <xf numFmtId="0" fontId="1348" fillId="0" borderId="1" xfId="0" applyFont="1" applyBorder="1" applyAlignment="1">
      <alignment horizontal="left" vertical="center" wrapText="1" indent="1"/>
    </xf>
    <xf numFmtId="0" fontId="1349" fillId="0" borderId="1" xfId="0" applyFont="1" applyBorder="1" applyAlignment="1">
      <alignment horizontal="left" vertical="center" wrapText="1" indent="1"/>
    </xf>
    <xf numFmtId="0" fontId="1350" fillId="0" borderId="1" xfId="0" applyFont="1" applyBorder="1" applyAlignment="1">
      <alignment horizontal="left" vertical="center" wrapText="1" indent="1"/>
    </xf>
    <xf numFmtId="0" fontId="1351" fillId="0" borderId="1" xfId="0" applyFont="1" applyBorder="1" applyAlignment="1">
      <alignment horizontal="left" vertical="center" wrapText="1" indent="1"/>
    </xf>
    <xf numFmtId="0" fontId="1352" fillId="0" borderId="1" xfId="0" applyFont="1" applyBorder="1" applyAlignment="1">
      <alignment horizontal="left" vertical="center" wrapText="1" indent="1"/>
    </xf>
    <xf numFmtId="0" fontId="1353" fillId="0" borderId="1" xfId="0" applyFont="1" applyBorder="1" applyAlignment="1">
      <alignment horizontal="left" vertical="center" wrapText="1" indent="1"/>
    </xf>
    <xf numFmtId="0" fontId="1354" fillId="0" borderId="1" xfId="0" applyFont="1" applyBorder="1" applyAlignment="1">
      <alignment horizontal="left" vertical="center" wrapText="1" indent="1"/>
    </xf>
    <xf numFmtId="0" fontId="1355" fillId="0" borderId="1" xfId="0" applyFont="1" applyBorder="1" applyAlignment="1">
      <alignment horizontal="left" vertical="center" wrapText="1" indent="1"/>
    </xf>
    <xf numFmtId="0" fontId="1356" fillId="0" borderId="1" xfId="0" applyFont="1" applyBorder="1" applyAlignment="1">
      <alignment horizontal="left" vertical="center" wrapText="1" indent="1"/>
    </xf>
    <xf numFmtId="0" fontId="1357" fillId="0" borderId="1" xfId="0" applyFont="1" applyBorder="1" applyAlignment="1">
      <alignment horizontal="left" vertical="center" wrapText="1" indent="1"/>
    </xf>
    <xf numFmtId="0" fontId="1358" fillId="0" borderId="1" xfId="0" applyFont="1" applyBorder="1" applyAlignment="1">
      <alignment horizontal="left" vertical="center" wrapText="1" indent="1"/>
    </xf>
    <xf numFmtId="0" fontId="1359" fillId="0" borderId="1" xfId="0" applyFont="1" applyBorder="1" applyAlignment="1">
      <alignment horizontal="left" vertical="center" wrapText="1" indent="1"/>
    </xf>
    <xf numFmtId="0" fontId="1360" fillId="0" borderId="1" xfId="0" applyFont="1" applyBorder="1" applyAlignment="1">
      <alignment horizontal="left" vertical="center" wrapText="1" indent="1"/>
    </xf>
    <xf numFmtId="0" fontId="1361" fillId="0" borderId="1" xfId="0" applyFont="1" applyBorder="1" applyAlignment="1">
      <alignment horizontal="left" vertical="center" wrapText="1" indent="1"/>
    </xf>
    <xf numFmtId="0" fontId="1362" fillId="0" borderId="1" xfId="0" applyFont="1" applyBorder="1" applyAlignment="1">
      <alignment horizontal="left" vertical="center" wrapText="1" indent="1"/>
    </xf>
    <xf numFmtId="0" fontId="1363" fillId="0" borderId="1" xfId="0" applyFont="1" applyBorder="1" applyAlignment="1">
      <alignment horizontal="left" vertical="center" wrapText="1" indent="1"/>
    </xf>
    <xf numFmtId="0" fontId="1364" fillId="0" borderId="1" xfId="0" applyFont="1" applyBorder="1" applyAlignment="1">
      <alignment horizontal="left" vertical="center" wrapText="1" indent="1"/>
    </xf>
    <xf numFmtId="0" fontId="1365" fillId="0" borderId="1" xfId="0" applyFont="1" applyBorder="1" applyAlignment="1">
      <alignment horizontal="left" vertical="center" wrapText="1" indent="1"/>
    </xf>
    <xf numFmtId="0" fontId="1366" fillId="0" borderId="1" xfId="0" applyFont="1" applyBorder="1" applyAlignment="1">
      <alignment horizontal="left" vertical="center" wrapText="1" indent="1"/>
    </xf>
    <xf numFmtId="0" fontId="1367" fillId="0" borderId="1" xfId="0" applyFont="1" applyBorder="1" applyAlignment="1">
      <alignment horizontal="left" vertical="center" wrapText="1" indent="1"/>
    </xf>
    <xf numFmtId="0" fontId="1368" fillId="0" borderId="1" xfId="0" applyFont="1" applyBorder="1" applyAlignment="1">
      <alignment horizontal="left" vertical="center" wrapText="1" indent="1"/>
    </xf>
    <xf numFmtId="0" fontId="1369" fillId="0" borderId="1" xfId="0" applyFont="1" applyBorder="1" applyAlignment="1">
      <alignment horizontal="left" vertical="center" wrapText="1" indent="1"/>
    </xf>
    <xf numFmtId="0" fontId="1370" fillId="0" borderId="1" xfId="0" applyFont="1" applyBorder="1" applyAlignment="1">
      <alignment horizontal="left" vertical="center" wrapText="1" indent="1"/>
    </xf>
    <xf numFmtId="0" fontId="1371" fillId="0" borderId="1" xfId="0" applyFont="1" applyBorder="1" applyAlignment="1">
      <alignment horizontal="left" vertical="center" wrapText="1" indent="1"/>
    </xf>
    <xf numFmtId="0" fontId="1372" fillId="0" borderId="1" xfId="0" applyFont="1" applyBorder="1" applyAlignment="1">
      <alignment horizontal="left" vertical="center" wrapText="1" indent="1"/>
    </xf>
    <xf numFmtId="0" fontId="1373" fillId="0" borderId="1" xfId="0" applyFont="1" applyBorder="1" applyAlignment="1">
      <alignment horizontal="left" vertical="center" wrapText="1" indent="1"/>
    </xf>
    <xf numFmtId="0" fontId="1374" fillId="0" borderId="1" xfId="0" applyFont="1" applyBorder="1" applyAlignment="1">
      <alignment horizontal="left" vertical="center" wrapText="1" indent="1"/>
    </xf>
    <xf numFmtId="0" fontId="1375" fillId="0" borderId="1" xfId="0" applyFont="1" applyBorder="1" applyAlignment="1">
      <alignment horizontal="left" vertical="center" wrapText="1" indent="1"/>
    </xf>
    <xf numFmtId="0" fontId="1376" fillId="0" borderId="1" xfId="0" applyFont="1" applyBorder="1" applyAlignment="1">
      <alignment horizontal="left" vertical="center" wrapText="1" indent="1"/>
    </xf>
    <xf numFmtId="0" fontId="1377" fillId="0" borderId="1" xfId="0" applyFont="1" applyBorder="1" applyAlignment="1">
      <alignment horizontal="left" vertical="center" wrapText="1" indent="1"/>
    </xf>
    <xf numFmtId="0" fontId="1378" fillId="0" borderId="1" xfId="0" applyFont="1" applyBorder="1" applyAlignment="1">
      <alignment horizontal="left" vertical="center" wrapText="1" indent="1"/>
    </xf>
    <xf numFmtId="0" fontId="1379" fillId="0" borderId="1" xfId="0" applyFont="1" applyBorder="1" applyAlignment="1">
      <alignment horizontal="left" vertical="center" wrapText="1" indent="1"/>
    </xf>
    <xf numFmtId="0" fontId="1380" fillId="0" borderId="1" xfId="0" applyFont="1" applyBorder="1" applyAlignment="1">
      <alignment horizontal="left" vertical="center" wrapText="1" indent="1"/>
    </xf>
    <xf numFmtId="0" fontId="1381" fillId="0" borderId="1" xfId="0" applyFont="1" applyBorder="1" applyAlignment="1">
      <alignment horizontal="left" vertical="center" wrapText="1" indent="1"/>
    </xf>
    <xf numFmtId="0" fontId="1382" fillId="0" borderId="1" xfId="0" applyFont="1" applyBorder="1" applyAlignment="1">
      <alignment horizontal="left" vertical="center" wrapText="1" indent="1"/>
    </xf>
    <xf numFmtId="0" fontId="1383" fillId="0" borderId="1" xfId="0" applyFont="1" applyBorder="1" applyAlignment="1">
      <alignment horizontal="left" vertical="center" wrapText="1" indent="1"/>
    </xf>
    <xf numFmtId="0" fontId="1384" fillId="0" borderId="1" xfId="0" applyFont="1" applyBorder="1" applyAlignment="1">
      <alignment horizontal="left" vertical="center" wrapText="1" indent="1"/>
    </xf>
    <xf numFmtId="0" fontId="1385" fillId="0" borderId="1" xfId="0" applyFont="1" applyBorder="1" applyAlignment="1">
      <alignment horizontal="left" vertical="center" wrapText="1" indent="1"/>
    </xf>
    <xf numFmtId="0" fontId="1386" fillId="0" borderId="1" xfId="0" applyFont="1" applyBorder="1" applyAlignment="1">
      <alignment horizontal="left" vertical="center" wrapText="1" indent="1"/>
    </xf>
    <xf numFmtId="0" fontId="1387" fillId="0" borderId="1" xfId="0" applyFont="1" applyBorder="1" applyAlignment="1">
      <alignment horizontal="left" vertical="center" wrapText="1" indent="1"/>
    </xf>
    <xf numFmtId="0" fontId="1388" fillId="0" borderId="1" xfId="0" applyFont="1" applyBorder="1" applyAlignment="1">
      <alignment horizontal="left" vertical="center" wrapText="1" indent="1"/>
    </xf>
    <xf numFmtId="0" fontId="1389" fillId="0" borderId="1" xfId="0" applyFont="1" applyBorder="1" applyAlignment="1">
      <alignment horizontal="left" vertical="center" wrapText="1" indent="1"/>
    </xf>
    <xf numFmtId="0" fontId="1390" fillId="0" borderId="1" xfId="0" applyFont="1" applyBorder="1" applyAlignment="1">
      <alignment horizontal="left" vertical="center" wrapText="1" indent="1"/>
    </xf>
    <xf numFmtId="0" fontId="1391" fillId="0" borderId="1" xfId="0" applyFont="1" applyBorder="1" applyAlignment="1">
      <alignment horizontal="left" vertical="center" wrapText="1" indent="1"/>
    </xf>
    <xf numFmtId="0" fontId="1392" fillId="0" borderId="1" xfId="0" applyFont="1" applyBorder="1" applyAlignment="1">
      <alignment horizontal="left" vertical="center" wrapText="1" indent="1"/>
    </xf>
    <xf numFmtId="0" fontId="1393" fillId="0" borderId="1" xfId="0" applyFont="1" applyBorder="1" applyAlignment="1">
      <alignment horizontal="left" vertical="center" wrapText="1" indent="1"/>
    </xf>
    <xf numFmtId="0" fontId="1394" fillId="0" borderId="1" xfId="0" applyFont="1" applyBorder="1" applyAlignment="1">
      <alignment horizontal="left" vertical="center" wrapText="1" indent="1"/>
    </xf>
    <xf numFmtId="0" fontId="1395" fillId="0" borderId="1" xfId="0" applyFont="1" applyBorder="1" applyAlignment="1">
      <alignment horizontal="left" vertical="center" wrapText="1" indent="1"/>
    </xf>
    <xf numFmtId="0" fontId="1396" fillId="0" borderId="1" xfId="0" applyFont="1" applyBorder="1" applyAlignment="1">
      <alignment horizontal="left" vertical="center" wrapText="1" indent="1"/>
    </xf>
    <xf numFmtId="0" fontId="1397" fillId="0" borderId="1" xfId="0" applyFont="1" applyBorder="1" applyAlignment="1">
      <alignment horizontal="left" vertical="center" wrapText="1" indent="1"/>
    </xf>
    <xf numFmtId="0" fontId="1398" fillId="0" borderId="1" xfId="0" applyFont="1" applyBorder="1" applyAlignment="1">
      <alignment horizontal="left" vertical="center" wrapText="1" indent="1"/>
    </xf>
    <xf numFmtId="0" fontId="1399" fillId="0" borderId="1" xfId="0" applyFont="1" applyBorder="1" applyAlignment="1">
      <alignment horizontal="left" vertical="center" wrapText="1" indent="1"/>
    </xf>
    <xf numFmtId="0" fontId="1400" fillId="0" borderId="1" xfId="0" applyFont="1" applyBorder="1" applyAlignment="1">
      <alignment horizontal="left" vertical="center" wrapText="1" indent="1"/>
    </xf>
    <xf numFmtId="0" fontId="1401" fillId="0" borderId="1" xfId="0" applyFont="1" applyBorder="1" applyAlignment="1">
      <alignment horizontal="left" vertical="center" wrapText="1" indent="1"/>
    </xf>
    <xf numFmtId="0" fontId="1402" fillId="0" borderId="1" xfId="0" applyFont="1" applyBorder="1" applyAlignment="1">
      <alignment horizontal="left" vertical="center" wrapText="1" indent="1"/>
    </xf>
    <xf numFmtId="0" fontId="1403" fillId="0" borderId="1" xfId="0" applyFont="1" applyBorder="1" applyAlignment="1">
      <alignment horizontal="left" vertical="center" wrapText="1" indent="1"/>
    </xf>
    <xf numFmtId="0" fontId="1404" fillId="0" borderId="1" xfId="0" applyFont="1" applyBorder="1" applyAlignment="1">
      <alignment horizontal="left" vertical="center" wrapText="1" indent="1"/>
    </xf>
    <xf numFmtId="0" fontId="1405" fillId="0" borderId="1" xfId="0" applyFont="1" applyBorder="1" applyAlignment="1">
      <alignment horizontal="left" vertical="center" wrapText="1" indent="1"/>
    </xf>
    <xf numFmtId="0" fontId="1406" fillId="0" borderId="1" xfId="0" applyFont="1" applyBorder="1" applyAlignment="1">
      <alignment horizontal="left" vertical="center" wrapText="1" indent="1"/>
    </xf>
    <xf numFmtId="0" fontId="1407" fillId="0" borderId="1" xfId="0" applyFont="1" applyBorder="1" applyAlignment="1">
      <alignment horizontal="left" vertical="center" wrapText="1" indent="1"/>
    </xf>
    <xf numFmtId="0" fontId="1408" fillId="0" borderId="1" xfId="0" applyFont="1" applyBorder="1" applyAlignment="1">
      <alignment horizontal="left" vertical="center" wrapText="1" indent="1"/>
    </xf>
    <xf numFmtId="0" fontId="1409" fillId="0" borderId="1" xfId="0" applyFont="1" applyBorder="1" applyAlignment="1">
      <alignment horizontal="left" vertical="center" wrapText="1" indent="1"/>
    </xf>
    <xf numFmtId="0" fontId="1410" fillId="0" borderId="1" xfId="0" applyFont="1" applyBorder="1" applyAlignment="1">
      <alignment horizontal="left" vertical="center" wrapText="1" indent="1"/>
    </xf>
    <xf numFmtId="0" fontId="1411" fillId="0" borderId="1" xfId="0" applyFont="1" applyBorder="1" applyAlignment="1">
      <alignment horizontal="left" vertical="center" wrapText="1" indent="1"/>
    </xf>
    <xf numFmtId="0" fontId="1412" fillId="0" borderId="1" xfId="0" applyFont="1" applyBorder="1" applyAlignment="1">
      <alignment horizontal="left" vertical="center" wrapText="1" indent="1"/>
    </xf>
    <xf numFmtId="0" fontId="1413" fillId="0" borderId="1" xfId="0" applyFont="1" applyBorder="1" applyAlignment="1">
      <alignment horizontal="left" vertical="center" wrapText="1" indent="1"/>
    </xf>
    <xf numFmtId="0" fontId="1414" fillId="0" borderId="1" xfId="0" applyFont="1" applyBorder="1" applyAlignment="1">
      <alignment horizontal="left" vertical="center" wrapText="1" indent="1"/>
    </xf>
    <xf numFmtId="0" fontId="1415" fillId="0" borderId="1" xfId="0" applyFont="1" applyBorder="1" applyAlignment="1">
      <alignment horizontal="left" vertical="center" wrapText="1" indent="1"/>
    </xf>
    <xf numFmtId="0" fontId="1416" fillId="0" borderId="1" xfId="0" applyFont="1" applyBorder="1" applyAlignment="1">
      <alignment horizontal="left" vertical="center" wrapText="1" indent="1"/>
    </xf>
    <xf numFmtId="0" fontId="1417" fillId="0" borderId="1" xfId="0" applyFont="1" applyBorder="1" applyAlignment="1">
      <alignment horizontal="left" vertical="center" wrapText="1" indent="1"/>
    </xf>
    <xf numFmtId="0" fontId="1418" fillId="0" borderId="1" xfId="0" applyFont="1" applyBorder="1" applyAlignment="1">
      <alignment horizontal="left" vertical="center" wrapText="1" indent="1"/>
    </xf>
    <xf numFmtId="0" fontId="1419" fillId="0" borderId="1" xfId="0" applyFont="1" applyBorder="1" applyAlignment="1">
      <alignment horizontal="left" vertical="center" wrapText="1" indent="1"/>
    </xf>
    <xf numFmtId="0" fontId="1420" fillId="0" borderId="1" xfId="0" applyFont="1" applyBorder="1" applyAlignment="1">
      <alignment horizontal="left" vertical="center" wrapText="1" indent="1"/>
    </xf>
    <xf numFmtId="0" fontId="1421" fillId="0" borderId="1" xfId="0" applyFont="1" applyBorder="1" applyAlignment="1">
      <alignment horizontal="left" vertical="center" wrapText="1" indent="1"/>
    </xf>
    <xf numFmtId="0" fontId="1422" fillId="0" borderId="1" xfId="0" applyFont="1" applyBorder="1" applyAlignment="1">
      <alignment horizontal="left" vertical="center" wrapText="1" indent="1"/>
    </xf>
    <xf numFmtId="0" fontId="1423" fillId="0" borderId="1" xfId="0" applyFont="1" applyBorder="1" applyAlignment="1">
      <alignment horizontal="left" vertical="center" wrapText="1" indent="1"/>
    </xf>
    <xf numFmtId="0" fontId="1424" fillId="0" borderId="1" xfId="0" applyFont="1" applyBorder="1" applyAlignment="1">
      <alignment horizontal="left" vertical="center" wrapText="1" indent="1"/>
    </xf>
    <xf numFmtId="0" fontId="1425" fillId="0" borderId="1" xfId="0" applyFont="1" applyBorder="1" applyAlignment="1">
      <alignment horizontal="left" vertical="center" wrapText="1" indent="1"/>
    </xf>
    <xf numFmtId="0" fontId="1426" fillId="0" borderId="1" xfId="0" applyFont="1" applyBorder="1" applyAlignment="1">
      <alignment horizontal="left" vertical="center" wrapText="1" indent="1"/>
    </xf>
    <xf numFmtId="0" fontId="1427" fillId="0" borderId="1" xfId="0" applyFont="1" applyBorder="1" applyAlignment="1">
      <alignment horizontal="left" vertical="center" wrapText="1" indent="1"/>
    </xf>
    <xf numFmtId="0" fontId="1428" fillId="0" borderId="1" xfId="0" applyFont="1" applyBorder="1" applyAlignment="1">
      <alignment horizontal="left" vertical="center" wrapText="1" indent="1"/>
    </xf>
    <xf numFmtId="0" fontId="1429" fillId="0" borderId="1" xfId="0" applyFont="1" applyBorder="1" applyAlignment="1">
      <alignment horizontal="left" vertical="center" wrapText="1" indent="1"/>
    </xf>
    <xf numFmtId="0" fontId="1430" fillId="0" borderId="1" xfId="0" applyFont="1" applyBorder="1" applyAlignment="1">
      <alignment horizontal="left" vertical="center" wrapText="1" indent="1"/>
    </xf>
    <xf numFmtId="0" fontId="1431" fillId="0" borderId="1" xfId="0" applyFont="1" applyBorder="1" applyAlignment="1">
      <alignment horizontal="left" vertical="center" wrapText="1" indent="1"/>
    </xf>
    <xf numFmtId="0" fontId="1432" fillId="0" borderId="1" xfId="0" applyFont="1" applyBorder="1" applyAlignment="1">
      <alignment horizontal="left" vertical="center" wrapText="1" indent="1"/>
    </xf>
    <xf numFmtId="0" fontId="1433" fillId="0" borderId="1" xfId="0" applyFont="1" applyBorder="1" applyAlignment="1">
      <alignment horizontal="left" vertical="center" wrapText="1" indent="1"/>
    </xf>
    <xf numFmtId="0" fontId="1434" fillId="0" borderId="1" xfId="0" applyFont="1" applyBorder="1" applyAlignment="1">
      <alignment horizontal="left" vertical="center" wrapText="1" indent="1"/>
    </xf>
    <xf numFmtId="0" fontId="1435" fillId="0" borderId="1" xfId="0" applyFont="1" applyBorder="1" applyAlignment="1">
      <alignment horizontal="left" vertical="center" wrapText="1" indent="1"/>
    </xf>
    <xf numFmtId="0" fontId="1436" fillId="0" borderId="1" xfId="0" applyFont="1" applyBorder="1" applyAlignment="1">
      <alignment horizontal="left" vertical="center" wrapText="1" indent="1"/>
    </xf>
    <xf numFmtId="0" fontId="1437" fillId="0" borderId="1" xfId="0" applyFont="1" applyBorder="1" applyAlignment="1">
      <alignment horizontal="left" vertical="center" wrapText="1" indent="1"/>
    </xf>
    <xf numFmtId="0" fontId="1438" fillId="0" borderId="1" xfId="0" applyFont="1" applyBorder="1" applyAlignment="1">
      <alignment horizontal="left" vertical="center" wrapText="1" indent="1"/>
    </xf>
    <xf numFmtId="0" fontId="1439" fillId="0" borderId="1" xfId="0" applyFont="1" applyBorder="1" applyAlignment="1">
      <alignment horizontal="left" vertical="center" wrapText="1" indent="1"/>
    </xf>
    <xf numFmtId="0" fontId="1440" fillId="0" borderId="1" xfId="0" applyFont="1" applyBorder="1" applyAlignment="1">
      <alignment horizontal="left" vertical="center" wrapText="1" indent="1"/>
    </xf>
    <xf numFmtId="0" fontId="1441" fillId="0" borderId="1" xfId="0" applyFont="1" applyBorder="1" applyAlignment="1">
      <alignment horizontal="left" vertical="center" wrapText="1" indent="1"/>
    </xf>
    <xf numFmtId="0" fontId="1442" fillId="0" borderId="1" xfId="0" applyFont="1" applyBorder="1" applyAlignment="1">
      <alignment horizontal="left" vertical="center" wrapText="1" indent="1"/>
    </xf>
    <xf numFmtId="0" fontId="1443" fillId="0" borderId="1" xfId="0" applyFont="1" applyBorder="1" applyAlignment="1">
      <alignment horizontal="left" vertical="center" wrapText="1" indent="1"/>
    </xf>
    <xf numFmtId="0" fontId="1444" fillId="0" borderId="1" xfId="0" applyFont="1" applyBorder="1" applyAlignment="1">
      <alignment horizontal="left" vertical="center" wrapText="1" indent="1"/>
    </xf>
    <xf numFmtId="0" fontId="1445" fillId="0" borderId="1" xfId="0" applyFont="1" applyBorder="1" applyAlignment="1">
      <alignment horizontal="left" vertical="center" wrapText="1" indent="1"/>
    </xf>
    <xf numFmtId="0" fontId="1446" fillId="0" borderId="1" xfId="0" applyFont="1" applyBorder="1" applyAlignment="1">
      <alignment horizontal="left" vertical="center" wrapText="1" indent="1"/>
    </xf>
    <xf numFmtId="0" fontId="1447" fillId="0" borderId="1" xfId="0" applyFont="1" applyBorder="1" applyAlignment="1">
      <alignment horizontal="left" vertical="center" wrapText="1" indent="1"/>
    </xf>
    <xf numFmtId="0" fontId="1448" fillId="0" borderId="1" xfId="0" applyFont="1" applyBorder="1" applyAlignment="1">
      <alignment horizontal="left" vertical="center" wrapText="1" indent="1"/>
    </xf>
    <xf numFmtId="0" fontId="1449" fillId="0" borderId="1" xfId="0" applyFont="1" applyBorder="1" applyAlignment="1">
      <alignment horizontal="left" vertical="center" wrapText="1" indent="1"/>
    </xf>
    <xf numFmtId="0" fontId="1450" fillId="0" borderId="1" xfId="0" applyFont="1" applyBorder="1" applyAlignment="1">
      <alignment horizontal="left" vertical="center" wrapText="1" indent="1"/>
    </xf>
    <xf numFmtId="0" fontId="1451" fillId="0" borderId="1" xfId="0" applyFont="1" applyBorder="1" applyAlignment="1">
      <alignment horizontal="left" vertical="center" wrapText="1" indent="1"/>
    </xf>
    <xf numFmtId="0" fontId="1452" fillId="0" borderId="1" xfId="0" applyFont="1" applyBorder="1" applyAlignment="1">
      <alignment horizontal="left" vertical="center" wrapText="1" indent="1"/>
    </xf>
    <xf numFmtId="0" fontId="1453" fillId="0" borderId="1" xfId="0" applyFont="1" applyBorder="1" applyAlignment="1">
      <alignment horizontal="left" vertical="center" wrapText="1" indent="1"/>
    </xf>
    <xf numFmtId="0" fontId="1454" fillId="0" borderId="1" xfId="0" applyFont="1" applyBorder="1" applyAlignment="1">
      <alignment horizontal="left" vertical="center" wrapText="1" indent="1"/>
    </xf>
    <xf numFmtId="0" fontId="1455" fillId="0" borderId="1" xfId="0" applyFont="1" applyBorder="1" applyAlignment="1">
      <alignment horizontal="left" vertical="center" wrapText="1" indent="1"/>
    </xf>
    <xf numFmtId="0" fontId="1456" fillId="0" borderId="1" xfId="0" applyFont="1" applyBorder="1" applyAlignment="1">
      <alignment horizontal="left" vertical="center" wrapText="1" indent="1"/>
    </xf>
    <xf numFmtId="0" fontId="1457" fillId="0" borderId="1" xfId="0" applyFont="1" applyBorder="1" applyAlignment="1">
      <alignment horizontal="left" vertical="center" wrapText="1" indent="1"/>
    </xf>
    <xf numFmtId="0" fontId="1458" fillId="0" borderId="1" xfId="0" applyFont="1" applyBorder="1" applyAlignment="1">
      <alignment horizontal="left" vertical="center" wrapText="1" indent="1"/>
    </xf>
    <xf numFmtId="0" fontId="1459" fillId="0" borderId="1" xfId="0" applyFont="1" applyBorder="1" applyAlignment="1">
      <alignment horizontal="left" vertical="center" wrapText="1" indent="1"/>
    </xf>
    <xf numFmtId="0" fontId="1460" fillId="0" borderId="1" xfId="0" applyFont="1" applyBorder="1" applyAlignment="1">
      <alignment horizontal="left" vertical="center" wrapText="1" indent="1"/>
    </xf>
    <xf numFmtId="0" fontId="1461" fillId="0" borderId="1" xfId="0" applyFont="1" applyBorder="1" applyAlignment="1">
      <alignment horizontal="left" vertical="center" wrapText="1" indent="1"/>
    </xf>
    <xf numFmtId="0" fontId="1462" fillId="0" borderId="1" xfId="0" applyFont="1" applyBorder="1" applyAlignment="1">
      <alignment horizontal="left" vertical="center" wrapText="1" indent="1"/>
    </xf>
    <xf numFmtId="0" fontId="1463" fillId="0" borderId="1" xfId="0" applyFont="1" applyBorder="1" applyAlignment="1">
      <alignment horizontal="left" vertical="center" wrapText="1" indent="1"/>
    </xf>
    <xf numFmtId="0" fontId="1464" fillId="0" borderId="1" xfId="0" applyFont="1" applyBorder="1" applyAlignment="1">
      <alignment horizontal="left" vertical="center" wrapText="1" indent="1"/>
    </xf>
    <xf numFmtId="0" fontId="1465" fillId="0" borderId="1" xfId="0" applyFont="1" applyBorder="1" applyAlignment="1">
      <alignment horizontal="left" vertical="center" wrapText="1" indent="1"/>
    </xf>
    <xf numFmtId="0" fontId="1466" fillId="0" borderId="1" xfId="0" applyFont="1" applyBorder="1" applyAlignment="1">
      <alignment horizontal="left" vertical="center" wrapText="1" indent="1"/>
    </xf>
    <xf numFmtId="0" fontId="1467" fillId="0" borderId="1" xfId="0" applyFont="1" applyBorder="1" applyAlignment="1">
      <alignment horizontal="left" vertical="center" wrapText="1" indent="1"/>
    </xf>
    <xf numFmtId="0" fontId="1468" fillId="0" borderId="1" xfId="0" applyFont="1" applyBorder="1" applyAlignment="1">
      <alignment horizontal="left" vertical="center" wrapText="1" indent="1"/>
    </xf>
    <xf numFmtId="0" fontId="1469" fillId="0" borderId="1" xfId="0" applyFont="1" applyBorder="1" applyAlignment="1">
      <alignment horizontal="left" vertical="center" wrapText="1" indent="1"/>
    </xf>
    <xf numFmtId="0" fontId="1470" fillId="0" borderId="1" xfId="0" applyFont="1" applyBorder="1" applyAlignment="1">
      <alignment horizontal="left" vertical="center" wrapText="1" indent="1"/>
    </xf>
    <xf numFmtId="0" fontId="1471" fillId="0" borderId="1" xfId="0" applyFont="1" applyBorder="1" applyAlignment="1">
      <alignment horizontal="left" vertical="center" wrapText="1" indent="1"/>
    </xf>
    <xf numFmtId="0" fontId="1472" fillId="0" borderId="1" xfId="0" applyFont="1" applyBorder="1" applyAlignment="1">
      <alignment horizontal="left" vertical="center" wrapText="1" indent="1"/>
    </xf>
    <xf numFmtId="0" fontId="1473" fillId="0" borderId="1" xfId="0" applyFont="1" applyBorder="1" applyAlignment="1">
      <alignment horizontal="left" vertical="center" wrapText="1" indent="1"/>
    </xf>
    <xf numFmtId="0" fontId="1474" fillId="0" borderId="1" xfId="0" applyFont="1" applyBorder="1" applyAlignment="1">
      <alignment horizontal="left" vertical="center" wrapText="1" indent="1"/>
    </xf>
    <xf numFmtId="0" fontId="1475" fillId="0" borderId="1" xfId="0" applyFont="1" applyBorder="1" applyAlignment="1">
      <alignment horizontal="left" vertical="center" wrapText="1" indent="1"/>
    </xf>
    <xf numFmtId="0" fontId="1476" fillId="0" borderId="1" xfId="0" applyFont="1" applyBorder="1" applyAlignment="1">
      <alignment horizontal="left" vertical="center" wrapText="1" indent="1"/>
    </xf>
    <xf numFmtId="0" fontId="1477" fillId="0" borderId="1" xfId="0" applyFont="1" applyBorder="1" applyAlignment="1">
      <alignment horizontal="left" vertical="center" wrapText="1" indent="1"/>
    </xf>
    <xf numFmtId="0" fontId="1478" fillId="0" borderId="1" xfId="0" applyFont="1" applyBorder="1" applyAlignment="1">
      <alignment horizontal="left" vertical="center" wrapText="1" indent="1"/>
    </xf>
    <xf numFmtId="0" fontId="1479" fillId="0" borderId="1" xfId="0" applyFont="1" applyBorder="1" applyAlignment="1">
      <alignment horizontal="left" vertical="center" wrapText="1" indent="1"/>
    </xf>
    <xf numFmtId="0" fontId="1480" fillId="0" borderId="1" xfId="0" applyFont="1" applyBorder="1" applyAlignment="1">
      <alignment horizontal="left" vertical="center" wrapText="1" indent="1"/>
    </xf>
    <xf numFmtId="0" fontId="1481" fillId="0" borderId="1" xfId="0" applyFont="1" applyBorder="1" applyAlignment="1">
      <alignment horizontal="left" vertical="center" wrapText="1" indent="1"/>
    </xf>
    <xf numFmtId="0" fontId="1482" fillId="0" borderId="1" xfId="0" applyFont="1" applyBorder="1" applyAlignment="1">
      <alignment horizontal="left" vertical="center" wrapText="1" indent="1"/>
    </xf>
    <xf numFmtId="0" fontId="1483" fillId="0" borderId="1" xfId="0" applyFont="1" applyBorder="1" applyAlignment="1">
      <alignment horizontal="left" vertical="center" wrapText="1" indent="1"/>
    </xf>
    <xf numFmtId="0" fontId="1484" fillId="0" borderId="1" xfId="0" applyFont="1" applyBorder="1" applyAlignment="1">
      <alignment horizontal="left" vertical="center" wrapText="1" indent="1"/>
    </xf>
    <xf numFmtId="0" fontId="1485" fillId="0" borderId="1" xfId="0" applyFont="1" applyBorder="1" applyAlignment="1">
      <alignment horizontal="left" vertical="center" wrapText="1" indent="1"/>
    </xf>
    <xf numFmtId="0" fontId="1486" fillId="0" borderId="1" xfId="0" applyFont="1" applyBorder="1" applyAlignment="1">
      <alignment horizontal="left" vertical="center" wrapText="1" indent="1"/>
    </xf>
    <xf numFmtId="0" fontId="1487" fillId="0" borderId="1" xfId="0" applyFont="1" applyBorder="1" applyAlignment="1">
      <alignment horizontal="left" vertical="center" wrapText="1" indent="1"/>
    </xf>
    <xf numFmtId="0" fontId="1488" fillId="0" borderId="1" xfId="0" applyFont="1" applyBorder="1" applyAlignment="1">
      <alignment horizontal="left" vertical="center" wrapText="1" indent="1"/>
    </xf>
    <xf numFmtId="0" fontId="1489" fillId="0" borderId="1" xfId="0" applyFont="1" applyBorder="1" applyAlignment="1">
      <alignment horizontal="left" vertical="center" wrapText="1" indent="1"/>
    </xf>
    <xf numFmtId="0" fontId="1490" fillId="0" borderId="1" xfId="0" applyFont="1" applyBorder="1" applyAlignment="1">
      <alignment horizontal="left" vertical="center" wrapText="1" indent="1"/>
    </xf>
    <xf numFmtId="0" fontId="1491" fillId="0" borderId="1" xfId="0" applyFont="1" applyBorder="1" applyAlignment="1">
      <alignment horizontal="left" vertical="center" wrapText="1" indent="1"/>
    </xf>
    <xf numFmtId="0" fontId="1492" fillId="0" borderId="1" xfId="0" applyFont="1" applyBorder="1" applyAlignment="1">
      <alignment horizontal="left" vertical="center" wrapText="1" indent="1"/>
    </xf>
    <xf numFmtId="0" fontId="1493" fillId="0" borderId="1" xfId="0" applyFont="1" applyBorder="1" applyAlignment="1">
      <alignment horizontal="left" vertical="center" wrapText="1" indent="1"/>
    </xf>
    <xf numFmtId="0" fontId="1494" fillId="0" borderId="1" xfId="0" applyFont="1" applyBorder="1" applyAlignment="1">
      <alignment horizontal="left" vertical="center" wrapText="1" indent="1"/>
    </xf>
    <xf numFmtId="0" fontId="1495" fillId="0" borderId="1" xfId="0" applyFont="1" applyBorder="1" applyAlignment="1">
      <alignment horizontal="left" vertical="center" wrapText="1" indent="1"/>
    </xf>
    <xf numFmtId="0" fontId="1496" fillId="0" borderId="1" xfId="0" applyFont="1" applyBorder="1" applyAlignment="1">
      <alignment horizontal="left" vertical="center" wrapText="1" indent="1"/>
    </xf>
    <xf numFmtId="0" fontId="1497" fillId="0" borderId="1" xfId="0" applyFont="1" applyBorder="1" applyAlignment="1">
      <alignment horizontal="left" vertical="center" wrapText="1" indent="1"/>
    </xf>
    <xf numFmtId="0" fontId="1498" fillId="0" borderId="1" xfId="0" applyFont="1" applyBorder="1" applyAlignment="1">
      <alignment horizontal="left" vertical="center" wrapText="1" indent="1"/>
    </xf>
    <xf numFmtId="0" fontId="1499" fillId="0" borderId="1" xfId="0" applyFont="1" applyBorder="1" applyAlignment="1">
      <alignment horizontal="left" vertical="center" wrapText="1" indent="1"/>
    </xf>
    <xf numFmtId="0" fontId="1500" fillId="0" borderId="1" xfId="0" applyFont="1" applyBorder="1" applyAlignment="1">
      <alignment horizontal="left" vertical="center" wrapText="1" indent="1"/>
    </xf>
    <xf numFmtId="0" fontId="1501" fillId="0" borderId="1" xfId="0" applyFont="1" applyBorder="1" applyAlignment="1">
      <alignment horizontal="left" vertical="center" wrapText="1" indent="1"/>
    </xf>
    <xf numFmtId="0" fontId="1502" fillId="0" borderId="1" xfId="0" applyFont="1" applyBorder="1" applyAlignment="1">
      <alignment horizontal="left" vertical="center" wrapText="1" indent="1"/>
    </xf>
    <xf numFmtId="0" fontId="1503" fillId="0" borderId="1" xfId="0" applyFont="1" applyBorder="1" applyAlignment="1">
      <alignment horizontal="left" vertical="center" wrapText="1" indent="1"/>
    </xf>
    <xf numFmtId="0" fontId="1504" fillId="0" borderId="1" xfId="0" applyFont="1" applyBorder="1" applyAlignment="1">
      <alignment horizontal="left" vertical="center" wrapText="1" indent="1"/>
    </xf>
    <xf numFmtId="0" fontId="1505" fillId="0" borderId="1" xfId="0" applyFont="1" applyBorder="1" applyAlignment="1">
      <alignment horizontal="left" vertical="center" wrapText="1" indent="1"/>
    </xf>
    <xf numFmtId="0" fontId="1506" fillId="0" borderId="1" xfId="0" applyFont="1" applyBorder="1" applyAlignment="1">
      <alignment horizontal="left" vertical="center" wrapText="1" indent="1"/>
    </xf>
    <xf numFmtId="0" fontId="1507" fillId="0" borderId="1" xfId="0" applyFont="1" applyBorder="1" applyAlignment="1">
      <alignment horizontal="left" vertical="center" wrapText="1" indent="1"/>
    </xf>
    <xf numFmtId="0" fontId="1508" fillId="0" borderId="1" xfId="0" applyFont="1" applyBorder="1" applyAlignment="1">
      <alignment horizontal="left" vertical="center" wrapText="1" indent="1"/>
    </xf>
    <xf numFmtId="0" fontId="1509" fillId="0" borderId="1" xfId="0" applyFont="1" applyBorder="1" applyAlignment="1">
      <alignment horizontal="left" vertical="center" wrapText="1" indent="1"/>
    </xf>
    <xf numFmtId="0" fontId="1510" fillId="0" borderId="1" xfId="0" applyFont="1" applyBorder="1" applyAlignment="1">
      <alignment horizontal="left" vertical="center" wrapText="1" indent="1"/>
    </xf>
    <xf numFmtId="0" fontId="1511" fillId="0" borderId="1" xfId="0" applyFont="1" applyBorder="1" applyAlignment="1">
      <alignment horizontal="left" vertical="center" wrapText="1" indent="1"/>
    </xf>
    <xf numFmtId="0" fontId="1512" fillId="0" borderId="1" xfId="0" applyFont="1" applyBorder="1" applyAlignment="1">
      <alignment horizontal="left" vertical="center" wrapText="1" indent="1"/>
    </xf>
    <xf numFmtId="0" fontId="1513" fillId="0" borderId="1" xfId="0" applyFont="1" applyBorder="1" applyAlignment="1">
      <alignment horizontal="left" vertical="center" wrapText="1" indent="1"/>
    </xf>
    <xf numFmtId="0" fontId="1514" fillId="0" borderId="1" xfId="0" applyFont="1" applyBorder="1" applyAlignment="1">
      <alignment horizontal="left" vertical="center" wrapText="1" indent="1"/>
    </xf>
    <xf numFmtId="0" fontId="1515" fillId="0" borderId="1" xfId="0" applyFont="1" applyBorder="1" applyAlignment="1">
      <alignment horizontal="left" vertical="center" wrapText="1" indent="1"/>
    </xf>
    <xf numFmtId="0" fontId="1516" fillId="0" borderId="1" xfId="0" applyFont="1" applyBorder="1" applyAlignment="1">
      <alignment horizontal="left" vertical="center" wrapText="1" indent="1"/>
    </xf>
    <xf numFmtId="0" fontId="1517" fillId="0" borderId="1" xfId="0" applyFont="1" applyBorder="1" applyAlignment="1">
      <alignment horizontal="left" vertical="center" wrapText="1" indent="1"/>
    </xf>
    <xf numFmtId="0" fontId="1518" fillId="0" borderId="1" xfId="0" applyFont="1" applyBorder="1" applyAlignment="1">
      <alignment horizontal="left" vertical="center" wrapText="1" indent="1"/>
    </xf>
    <xf numFmtId="0" fontId="1519" fillId="0" borderId="1" xfId="0" applyFont="1" applyBorder="1" applyAlignment="1">
      <alignment horizontal="left" vertical="center" wrapText="1" indent="1"/>
    </xf>
    <xf numFmtId="0" fontId="1520" fillId="0" borderId="1" xfId="0" applyFont="1" applyBorder="1" applyAlignment="1">
      <alignment horizontal="left" vertical="center" wrapText="1" indent="1"/>
    </xf>
    <xf numFmtId="0" fontId="1521" fillId="0" borderId="1" xfId="0" applyFont="1" applyBorder="1" applyAlignment="1">
      <alignment horizontal="left" vertical="center" wrapText="1" indent="1"/>
    </xf>
    <xf numFmtId="0" fontId="1522" fillId="0" borderId="1" xfId="0" applyFont="1" applyBorder="1" applyAlignment="1">
      <alignment horizontal="left" vertical="center" wrapText="1" indent="1"/>
    </xf>
    <xf numFmtId="0" fontId="1523" fillId="0" borderId="1" xfId="0" applyFont="1" applyBorder="1" applyAlignment="1">
      <alignment horizontal="left" vertical="center" wrapText="1" indent="1"/>
    </xf>
    <xf numFmtId="0" fontId="1524" fillId="0" borderId="1" xfId="0" applyFont="1" applyBorder="1" applyAlignment="1">
      <alignment horizontal="left" vertical="center" wrapText="1" indent="1"/>
    </xf>
    <xf numFmtId="0" fontId="1525" fillId="0" borderId="1" xfId="0" applyFont="1" applyBorder="1" applyAlignment="1">
      <alignment horizontal="left" vertical="center" wrapText="1" indent="1"/>
    </xf>
    <xf numFmtId="0" fontId="1526" fillId="0" borderId="1" xfId="0" applyFont="1" applyBorder="1" applyAlignment="1">
      <alignment horizontal="left" vertical="center" wrapText="1" indent="1"/>
    </xf>
    <xf numFmtId="0" fontId="1527" fillId="0" borderId="1" xfId="0" applyFont="1" applyBorder="1" applyAlignment="1">
      <alignment horizontal="left" vertical="center" wrapText="1" indent="1"/>
    </xf>
    <xf numFmtId="0" fontId="1528" fillId="0" borderId="1" xfId="0" applyFont="1" applyBorder="1" applyAlignment="1">
      <alignment horizontal="left" vertical="center" wrapText="1" indent="1"/>
    </xf>
    <xf numFmtId="0" fontId="1529" fillId="0" borderId="1" xfId="0" applyFont="1" applyBorder="1" applyAlignment="1">
      <alignment horizontal="left" vertical="center" wrapText="1" indent="1"/>
    </xf>
    <xf numFmtId="0" fontId="1530" fillId="0" borderId="1" xfId="0" applyFont="1" applyBorder="1" applyAlignment="1">
      <alignment horizontal="left" vertical="center" wrapText="1" indent="1"/>
    </xf>
    <xf numFmtId="0" fontId="1531" fillId="0" borderId="1" xfId="0" applyFont="1" applyBorder="1" applyAlignment="1">
      <alignment horizontal="left" vertical="center" wrapText="1" indent="1"/>
    </xf>
    <xf numFmtId="0" fontId="1532" fillId="0" borderId="1" xfId="0" applyFont="1" applyBorder="1" applyAlignment="1">
      <alignment horizontal="left" vertical="center" wrapText="1" indent="1"/>
    </xf>
    <xf numFmtId="0" fontId="1533" fillId="0" borderId="1" xfId="0" applyFont="1" applyBorder="1" applyAlignment="1">
      <alignment horizontal="left" vertical="center" wrapText="1" indent="1"/>
    </xf>
    <xf numFmtId="0" fontId="1534" fillId="0" borderId="1" xfId="0" applyFont="1" applyBorder="1" applyAlignment="1">
      <alignment horizontal="left" vertical="center" wrapText="1" indent="1"/>
    </xf>
    <xf numFmtId="0" fontId="1535" fillId="0" borderId="1" xfId="0" applyFont="1" applyBorder="1" applyAlignment="1">
      <alignment horizontal="left" vertical="center" wrapText="1" indent="1"/>
    </xf>
    <xf numFmtId="0" fontId="1536" fillId="0" borderId="1" xfId="0" applyFont="1" applyBorder="1" applyAlignment="1">
      <alignment horizontal="left" vertical="center" wrapText="1" indent="1"/>
    </xf>
    <xf numFmtId="0" fontId="1537" fillId="0" borderId="1" xfId="0" applyFont="1" applyBorder="1" applyAlignment="1">
      <alignment horizontal="left" vertical="center" wrapText="1" indent="1"/>
    </xf>
    <xf numFmtId="0" fontId="1538" fillId="0" borderId="1" xfId="0" applyFont="1" applyBorder="1" applyAlignment="1">
      <alignment horizontal="left" vertical="center" wrapText="1" indent="1"/>
    </xf>
    <xf numFmtId="0" fontId="1539" fillId="0" borderId="1" xfId="0" applyFont="1" applyBorder="1" applyAlignment="1">
      <alignment horizontal="left" vertical="center" wrapText="1" indent="1"/>
    </xf>
    <xf numFmtId="0" fontId="1540" fillId="0" borderId="1" xfId="0" applyFont="1" applyBorder="1" applyAlignment="1">
      <alignment horizontal="left" vertical="center" wrapText="1" indent="1"/>
    </xf>
    <xf numFmtId="0" fontId="1541" fillId="0" borderId="1" xfId="0" applyFont="1" applyBorder="1" applyAlignment="1">
      <alignment horizontal="left" vertical="center" wrapText="1" indent="1"/>
    </xf>
    <xf numFmtId="0" fontId="1542" fillId="0" borderId="1" xfId="0" applyFont="1" applyBorder="1" applyAlignment="1">
      <alignment horizontal="left" vertical="center" wrapText="1" indent="1"/>
    </xf>
    <xf numFmtId="0" fontId="1543" fillId="0" borderId="1" xfId="0" applyFont="1" applyBorder="1" applyAlignment="1">
      <alignment horizontal="left" vertical="center" wrapText="1" indent="1"/>
    </xf>
    <xf numFmtId="0" fontId="1544" fillId="0" borderId="1" xfId="0" applyFont="1" applyBorder="1" applyAlignment="1">
      <alignment horizontal="left" vertical="center" wrapText="1" indent="1"/>
    </xf>
    <xf numFmtId="0" fontId="1545" fillId="0" borderId="1" xfId="0" applyFont="1" applyBorder="1" applyAlignment="1">
      <alignment horizontal="left" vertical="center" wrapText="1" indent="1"/>
    </xf>
    <xf numFmtId="0" fontId="1546" fillId="0" borderId="1" xfId="0" applyFont="1" applyBorder="1" applyAlignment="1">
      <alignment horizontal="left" vertical="center" wrapText="1" indent="1"/>
    </xf>
    <xf numFmtId="0" fontId="1547" fillId="0" borderId="1" xfId="0" applyFont="1" applyBorder="1" applyAlignment="1">
      <alignment horizontal="left" vertical="center" wrapText="1" indent="1"/>
    </xf>
    <xf numFmtId="0" fontId="1548" fillId="0" borderId="1" xfId="0" applyFont="1" applyBorder="1" applyAlignment="1">
      <alignment horizontal="left" vertical="center" wrapText="1" indent="1"/>
    </xf>
    <xf numFmtId="0" fontId="1549" fillId="0" borderId="1" xfId="0" applyFont="1" applyBorder="1" applyAlignment="1">
      <alignment horizontal="left" vertical="center" wrapText="1" indent="1"/>
    </xf>
    <xf numFmtId="0" fontId="1550" fillId="0" borderId="1" xfId="0" applyFont="1" applyBorder="1" applyAlignment="1">
      <alignment horizontal="left" vertical="center" wrapText="1" indent="1"/>
    </xf>
    <xf numFmtId="0" fontId="1551" fillId="0" borderId="1" xfId="0" applyFont="1" applyBorder="1" applyAlignment="1">
      <alignment horizontal="left" vertical="center" wrapText="1" indent="1"/>
    </xf>
    <xf numFmtId="0" fontId="1552" fillId="0" borderId="1" xfId="0" applyFont="1" applyBorder="1" applyAlignment="1">
      <alignment horizontal="left" vertical="center" wrapText="1" indent="1"/>
    </xf>
    <xf numFmtId="0" fontId="1553" fillId="0" borderId="1" xfId="0" applyFont="1" applyBorder="1" applyAlignment="1">
      <alignment horizontal="left" vertical="center" wrapText="1" indent="1"/>
    </xf>
    <xf numFmtId="0" fontId="1554" fillId="0" borderId="1" xfId="0" applyFont="1" applyBorder="1" applyAlignment="1">
      <alignment horizontal="left" vertical="center" wrapText="1" indent="1"/>
    </xf>
    <xf numFmtId="0" fontId="1555" fillId="0" borderId="1" xfId="0" applyFont="1" applyBorder="1" applyAlignment="1">
      <alignment horizontal="left" vertical="center" wrapText="1" indent="1"/>
    </xf>
    <xf numFmtId="0" fontId="1556" fillId="0" borderId="1" xfId="0" applyFont="1" applyBorder="1" applyAlignment="1">
      <alignment horizontal="left" vertical="center" wrapText="1" indent="1"/>
    </xf>
    <xf numFmtId="0" fontId="1557" fillId="0" borderId="1" xfId="0" applyFont="1" applyBorder="1" applyAlignment="1">
      <alignment horizontal="left" vertical="center" wrapText="1" indent="1"/>
    </xf>
    <xf numFmtId="0" fontId="1558" fillId="0" borderId="1" xfId="0" applyFont="1" applyBorder="1" applyAlignment="1">
      <alignment horizontal="left" vertical="center" wrapText="1" indent="1"/>
    </xf>
    <xf numFmtId="0" fontId="1559" fillId="0" borderId="1" xfId="0" applyFont="1" applyBorder="1" applyAlignment="1">
      <alignment horizontal="left" vertical="center" wrapText="1" indent="1"/>
    </xf>
    <xf numFmtId="0" fontId="1560" fillId="0" borderId="1" xfId="0" applyFont="1" applyBorder="1" applyAlignment="1">
      <alignment horizontal="left" vertical="center" wrapText="1" indent="1"/>
    </xf>
    <xf numFmtId="0" fontId="1561" fillId="0" borderId="1" xfId="0" applyFont="1" applyBorder="1" applyAlignment="1">
      <alignment horizontal="left" vertical="center" wrapText="1" indent="1"/>
    </xf>
    <xf numFmtId="0" fontId="1562" fillId="0" borderId="1" xfId="0" applyFont="1" applyBorder="1" applyAlignment="1">
      <alignment horizontal="left" vertical="center" wrapText="1" indent="1"/>
    </xf>
    <xf numFmtId="0" fontId="1563" fillId="0" borderId="1" xfId="0" applyFont="1" applyBorder="1" applyAlignment="1">
      <alignment horizontal="left" vertical="center" wrapText="1" indent="1"/>
    </xf>
    <xf numFmtId="0" fontId="1564" fillId="0" borderId="1" xfId="0" applyFont="1" applyBorder="1" applyAlignment="1">
      <alignment horizontal="left" vertical="center" wrapText="1" indent="1"/>
    </xf>
    <xf numFmtId="0" fontId="1565" fillId="0" borderId="1" xfId="0" applyFont="1" applyBorder="1" applyAlignment="1">
      <alignment horizontal="left" vertical="center" wrapText="1" indent="1"/>
    </xf>
    <xf numFmtId="0" fontId="1566" fillId="0" borderId="1" xfId="0" applyFont="1" applyBorder="1" applyAlignment="1">
      <alignment horizontal="left" vertical="center" wrapText="1" indent="1"/>
    </xf>
    <xf numFmtId="0" fontId="1567" fillId="0" borderId="1" xfId="0" applyFont="1" applyBorder="1" applyAlignment="1">
      <alignment horizontal="left" vertical="center" wrapText="1" indent="1"/>
    </xf>
    <xf numFmtId="0" fontId="1568" fillId="0" borderId="1" xfId="0" applyFont="1" applyBorder="1" applyAlignment="1">
      <alignment horizontal="left" vertical="center" wrapText="1" indent="1"/>
    </xf>
    <xf numFmtId="0" fontId="1569" fillId="0" borderId="1" xfId="0" applyFont="1" applyBorder="1" applyAlignment="1">
      <alignment horizontal="left" vertical="center" wrapText="1" indent="1"/>
    </xf>
    <xf numFmtId="0" fontId="1570" fillId="0" borderId="1" xfId="0" applyFont="1" applyBorder="1" applyAlignment="1">
      <alignment horizontal="left" vertical="center" wrapText="1" indent="1"/>
    </xf>
    <xf numFmtId="0" fontId="1571" fillId="0" borderId="1" xfId="0" applyFont="1" applyBorder="1" applyAlignment="1">
      <alignment horizontal="left" vertical="center" wrapText="1" indent="1"/>
    </xf>
    <xf numFmtId="0" fontId="1572" fillId="0" borderId="1" xfId="0" applyFont="1" applyBorder="1" applyAlignment="1">
      <alignment horizontal="left" vertical="center" wrapText="1" indent="1"/>
    </xf>
    <xf numFmtId="0" fontId="1573" fillId="0" borderId="1" xfId="0" applyFont="1" applyBorder="1" applyAlignment="1">
      <alignment horizontal="left" vertical="center" wrapText="1" indent="1"/>
    </xf>
    <xf numFmtId="0" fontId="1574" fillId="0" borderId="1" xfId="0" applyFont="1" applyBorder="1" applyAlignment="1">
      <alignment horizontal="left" vertical="center" wrapText="1" indent="1"/>
    </xf>
    <xf numFmtId="0" fontId="1575" fillId="0" borderId="1" xfId="0" applyFont="1" applyBorder="1" applyAlignment="1">
      <alignment horizontal="left" vertical="center" wrapText="1" indent="1"/>
    </xf>
    <xf numFmtId="0" fontId="1576" fillId="0" borderId="1" xfId="0" applyFont="1" applyBorder="1" applyAlignment="1">
      <alignment horizontal="left" vertical="center" wrapText="1" indent="1"/>
    </xf>
    <xf numFmtId="0" fontId="1577" fillId="0" borderId="1" xfId="0" applyFont="1" applyBorder="1" applyAlignment="1">
      <alignment horizontal="left" vertical="center" wrapText="1" indent="1"/>
    </xf>
    <xf numFmtId="0" fontId="1578" fillId="0" borderId="1" xfId="0" applyFont="1" applyBorder="1" applyAlignment="1">
      <alignment horizontal="left" vertical="center" wrapText="1" indent="1"/>
    </xf>
    <xf numFmtId="0" fontId="1579" fillId="0" borderId="1" xfId="0" applyFont="1" applyBorder="1" applyAlignment="1">
      <alignment horizontal="left" vertical="center" wrapText="1" indent="1"/>
    </xf>
    <xf numFmtId="0" fontId="1580" fillId="0" borderId="1" xfId="0" applyFont="1" applyBorder="1" applyAlignment="1">
      <alignment horizontal="left" vertical="center" wrapText="1" indent="1"/>
    </xf>
    <xf numFmtId="0" fontId="1581" fillId="0" borderId="1" xfId="0" applyFont="1" applyBorder="1" applyAlignment="1">
      <alignment horizontal="left" vertical="center" wrapText="1" indent="1"/>
    </xf>
    <xf numFmtId="0" fontId="1582" fillId="0" borderId="1" xfId="0" applyFont="1" applyBorder="1" applyAlignment="1">
      <alignment horizontal="left" vertical="center" wrapText="1" indent="1"/>
    </xf>
    <xf numFmtId="0" fontId="1583" fillId="0" borderId="1" xfId="0" applyFont="1" applyBorder="1" applyAlignment="1">
      <alignment horizontal="left" vertical="center" wrapText="1" indent="1"/>
    </xf>
    <xf numFmtId="0" fontId="1584" fillId="0" borderId="1" xfId="0" applyFont="1" applyBorder="1" applyAlignment="1">
      <alignment horizontal="left" vertical="center" wrapText="1" indent="1"/>
    </xf>
    <xf numFmtId="0" fontId="1585" fillId="0" borderId="1" xfId="0" applyFont="1" applyBorder="1" applyAlignment="1">
      <alignment horizontal="left" vertical="center" wrapText="1" indent="1"/>
    </xf>
    <xf numFmtId="0" fontId="1586" fillId="0" borderId="1" xfId="0" applyFont="1" applyBorder="1" applyAlignment="1">
      <alignment horizontal="left" vertical="center" wrapText="1" indent="1"/>
    </xf>
    <xf numFmtId="0" fontId="1587" fillId="0" borderId="1" xfId="0" applyFont="1" applyBorder="1" applyAlignment="1">
      <alignment horizontal="left" vertical="center" wrapText="1" indent="1"/>
    </xf>
    <xf numFmtId="0" fontId="1588" fillId="0" borderId="1" xfId="0" applyFont="1" applyBorder="1" applyAlignment="1">
      <alignment horizontal="left" vertical="center" wrapText="1" indent="1"/>
    </xf>
    <xf numFmtId="0" fontId="1589" fillId="0" borderId="1" xfId="0" applyFont="1" applyBorder="1" applyAlignment="1">
      <alignment horizontal="left" vertical="center" wrapText="1" indent="1"/>
    </xf>
    <xf numFmtId="0" fontId="1590" fillId="0" borderId="1" xfId="0" applyFont="1" applyBorder="1" applyAlignment="1">
      <alignment horizontal="left" vertical="center" wrapText="1" indent="1"/>
    </xf>
    <xf numFmtId="0" fontId="1591" fillId="0" borderId="1" xfId="0" applyFont="1" applyBorder="1" applyAlignment="1">
      <alignment horizontal="left" vertical="center" wrapText="1" indent="1"/>
    </xf>
    <xf numFmtId="0" fontId="1592" fillId="0" borderId="1" xfId="0" applyFont="1" applyBorder="1" applyAlignment="1">
      <alignment horizontal="left" vertical="center" wrapText="1" indent="1"/>
    </xf>
    <xf numFmtId="0" fontId="1593" fillId="0" borderId="1" xfId="0" applyFont="1" applyBorder="1" applyAlignment="1">
      <alignment horizontal="left" vertical="center" wrapText="1" indent="1"/>
    </xf>
    <xf numFmtId="0" fontId="1594" fillId="0" borderId="1" xfId="0" applyFont="1" applyBorder="1" applyAlignment="1">
      <alignment horizontal="left" vertical="center" wrapText="1" indent="1"/>
    </xf>
    <xf numFmtId="0" fontId="1595" fillId="0" borderId="1" xfId="0" applyFont="1" applyBorder="1" applyAlignment="1">
      <alignment horizontal="left" vertical="center" wrapText="1" indent="1"/>
    </xf>
    <xf numFmtId="0" fontId="1596" fillId="0" borderId="1" xfId="0" applyFont="1" applyBorder="1" applyAlignment="1">
      <alignment horizontal="left" vertical="center" wrapText="1" indent="1"/>
    </xf>
    <xf numFmtId="0" fontId="1597" fillId="0" borderId="1" xfId="0" applyFont="1" applyBorder="1" applyAlignment="1">
      <alignment horizontal="left" vertical="center" wrapText="1" indent="1"/>
    </xf>
    <xf numFmtId="0" fontId="1598" fillId="0" borderId="1" xfId="0" applyFont="1" applyBorder="1" applyAlignment="1">
      <alignment horizontal="left" vertical="center" wrapText="1" indent="1"/>
    </xf>
    <xf numFmtId="0" fontId="1599" fillId="0" borderId="1" xfId="0" applyFont="1" applyBorder="1" applyAlignment="1">
      <alignment horizontal="left" vertical="center" wrapText="1" indent="1"/>
    </xf>
    <xf numFmtId="0" fontId="1600" fillId="0" borderId="1" xfId="0" applyFont="1" applyBorder="1" applyAlignment="1">
      <alignment horizontal="left" vertical="center" wrapText="1" indent="1"/>
    </xf>
    <xf numFmtId="0" fontId="1601" fillId="0" borderId="1" xfId="0" applyFont="1" applyBorder="1" applyAlignment="1">
      <alignment horizontal="left" vertical="center" wrapText="1" indent="1"/>
    </xf>
    <xf numFmtId="0" fontId="1602" fillId="0" borderId="1" xfId="0" applyFont="1" applyBorder="1" applyAlignment="1">
      <alignment horizontal="left" vertical="center" wrapText="1" indent="1"/>
    </xf>
    <xf numFmtId="0" fontId="1603" fillId="0" borderId="1" xfId="0" applyFont="1" applyBorder="1" applyAlignment="1">
      <alignment horizontal="left" vertical="center" wrapText="1" indent="1"/>
    </xf>
    <xf numFmtId="0" fontId="1604" fillId="0" borderId="1" xfId="0" applyFont="1" applyBorder="1" applyAlignment="1">
      <alignment horizontal="left" vertical="center" wrapText="1" indent="1"/>
    </xf>
    <xf numFmtId="0" fontId="1605" fillId="0" borderId="1" xfId="0" applyFont="1" applyBorder="1" applyAlignment="1">
      <alignment horizontal="left" vertical="center" wrapText="1" indent="1"/>
    </xf>
    <xf numFmtId="0" fontId="1606" fillId="0" borderId="1" xfId="0" applyFont="1" applyBorder="1" applyAlignment="1">
      <alignment horizontal="left" vertical="center" wrapText="1" indent="1"/>
    </xf>
    <xf numFmtId="0" fontId="1607" fillId="0" borderId="1" xfId="0" applyFont="1" applyBorder="1" applyAlignment="1">
      <alignment horizontal="left" vertical="center" wrapText="1" indent="1"/>
    </xf>
    <xf numFmtId="0" fontId="1608" fillId="0" borderId="1" xfId="0" applyFont="1" applyBorder="1" applyAlignment="1">
      <alignment horizontal="left" vertical="center" wrapText="1" indent="1"/>
    </xf>
    <xf numFmtId="0" fontId="1609" fillId="0" borderId="1" xfId="0" applyFont="1" applyBorder="1" applyAlignment="1">
      <alignment horizontal="left" vertical="center" wrapText="1" indent="1"/>
    </xf>
    <xf numFmtId="0" fontId="1610" fillId="0" borderId="1" xfId="0" applyFont="1" applyBorder="1" applyAlignment="1">
      <alignment horizontal="left" vertical="center" wrapText="1" indent="1"/>
    </xf>
    <xf numFmtId="0" fontId="1611" fillId="0" borderId="1" xfId="0" applyFont="1" applyBorder="1" applyAlignment="1">
      <alignment horizontal="left" vertical="center" wrapText="1" indent="1"/>
    </xf>
    <xf numFmtId="0" fontId="1612" fillId="0" borderId="1" xfId="0" applyFont="1" applyBorder="1" applyAlignment="1">
      <alignment horizontal="left" vertical="center" wrapText="1" indent="1"/>
    </xf>
    <xf numFmtId="0" fontId="1613" fillId="0" borderId="1" xfId="0" applyFont="1" applyBorder="1" applyAlignment="1">
      <alignment horizontal="left" vertical="center" wrapText="1" indent="1"/>
    </xf>
    <xf numFmtId="0" fontId="1614" fillId="0" borderId="1" xfId="0" applyFont="1" applyBorder="1" applyAlignment="1">
      <alignment horizontal="left" vertical="center" wrapText="1" indent="1"/>
    </xf>
    <xf numFmtId="0" fontId="1615" fillId="0" borderId="1" xfId="0" applyFont="1" applyBorder="1" applyAlignment="1">
      <alignment horizontal="left" vertical="center" wrapText="1" indent="1"/>
    </xf>
    <xf numFmtId="0" fontId="1616" fillId="0" borderId="1" xfId="0" applyFont="1" applyBorder="1" applyAlignment="1">
      <alignment horizontal="left" vertical="center" wrapText="1" indent="1"/>
    </xf>
    <xf numFmtId="0" fontId="1617" fillId="0" borderId="1" xfId="0" applyFont="1" applyBorder="1" applyAlignment="1">
      <alignment horizontal="left" vertical="center" wrapText="1" indent="1"/>
    </xf>
    <xf numFmtId="0" fontId="1618" fillId="0" borderId="1" xfId="0" applyFont="1" applyBorder="1" applyAlignment="1">
      <alignment horizontal="left" vertical="center" wrapText="1" indent="1"/>
    </xf>
    <xf numFmtId="0" fontId="1619" fillId="0" borderId="1" xfId="0" applyFont="1" applyBorder="1" applyAlignment="1">
      <alignment horizontal="left" vertical="center" wrapText="1" indent="1"/>
    </xf>
    <xf numFmtId="0" fontId="1620" fillId="0" borderId="1" xfId="0" applyFont="1" applyBorder="1" applyAlignment="1">
      <alignment horizontal="left" vertical="center" wrapText="1" indent="1"/>
    </xf>
    <xf numFmtId="0" fontId="1621" fillId="0" borderId="1" xfId="0" applyFont="1" applyBorder="1" applyAlignment="1">
      <alignment horizontal="left" vertical="center" wrapText="1" indent="1"/>
    </xf>
    <xf numFmtId="0" fontId="1622" fillId="0" borderId="1" xfId="0" applyFont="1" applyBorder="1" applyAlignment="1">
      <alignment horizontal="left" vertical="center" wrapText="1" indent="1"/>
    </xf>
    <xf numFmtId="0" fontId="1623" fillId="0" borderId="1" xfId="0" applyFont="1" applyBorder="1" applyAlignment="1">
      <alignment horizontal="left" vertical="center" wrapText="1" indent="1"/>
    </xf>
    <xf numFmtId="0" fontId="1624" fillId="0" borderId="1" xfId="0" applyFont="1" applyBorder="1" applyAlignment="1">
      <alignment horizontal="left" vertical="center" wrapText="1" indent="1"/>
    </xf>
    <xf numFmtId="0" fontId="1625" fillId="0" borderId="1" xfId="0" applyFont="1" applyBorder="1" applyAlignment="1">
      <alignment horizontal="left" vertical="center" wrapText="1" indent="1"/>
    </xf>
    <xf numFmtId="0" fontId="1626" fillId="0" borderId="1" xfId="0" applyFont="1" applyBorder="1" applyAlignment="1">
      <alignment horizontal="left" vertical="center" wrapText="1" indent="1"/>
    </xf>
    <xf numFmtId="0" fontId="1627" fillId="0" borderId="1" xfId="0" applyFont="1" applyBorder="1" applyAlignment="1">
      <alignment horizontal="left" vertical="center" wrapText="1" indent="1"/>
    </xf>
    <xf numFmtId="0" fontId="1628" fillId="0" borderId="1" xfId="0" applyFont="1" applyBorder="1" applyAlignment="1">
      <alignment horizontal="left" vertical="center" wrapText="1" indent="1"/>
    </xf>
    <xf numFmtId="0" fontId="1629" fillId="0" borderId="1" xfId="0" applyFont="1" applyBorder="1" applyAlignment="1">
      <alignment horizontal="left" vertical="center" wrapText="1" indent="1"/>
    </xf>
    <xf numFmtId="0" fontId="1630" fillId="0" borderId="1" xfId="0" applyFont="1" applyBorder="1" applyAlignment="1">
      <alignment horizontal="left" vertical="center" wrapText="1" indent="1"/>
    </xf>
    <xf numFmtId="0" fontId="1631" fillId="0" borderId="1" xfId="0" applyFont="1" applyBorder="1" applyAlignment="1">
      <alignment horizontal="left" vertical="center" wrapText="1" indent="1"/>
    </xf>
    <xf numFmtId="0" fontId="1632" fillId="0" borderId="1" xfId="0" applyFont="1" applyBorder="1" applyAlignment="1">
      <alignment horizontal="left" vertical="center" wrapText="1" indent="1"/>
    </xf>
    <xf numFmtId="0" fontId="1633" fillId="0" borderId="1" xfId="0" applyFont="1" applyBorder="1" applyAlignment="1">
      <alignment horizontal="left" vertical="center" wrapText="1" indent="1"/>
    </xf>
    <xf numFmtId="0" fontId="1634" fillId="0" borderId="1" xfId="0" applyFont="1" applyBorder="1" applyAlignment="1">
      <alignment horizontal="left" vertical="center" wrapText="1" indent="1"/>
    </xf>
    <xf numFmtId="0" fontId="1635" fillId="0" borderId="1" xfId="0" applyFont="1" applyBorder="1" applyAlignment="1">
      <alignment horizontal="left" vertical="center" wrapText="1" indent="1"/>
    </xf>
    <xf numFmtId="0" fontId="1636" fillId="0" borderId="1" xfId="0" applyFont="1" applyBorder="1" applyAlignment="1">
      <alignment horizontal="left" vertical="center" wrapText="1" indent="1"/>
    </xf>
    <xf numFmtId="0" fontId="1637" fillId="0" borderId="1" xfId="0" applyFont="1" applyBorder="1" applyAlignment="1">
      <alignment horizontal="left" vertical="center" wrapText="1" indent="1"/>
    </xf>
    <xf numFmtId="0" fontId="1638" fillId="0" borderId="1" xfId="0" applyFont="1" applyBorder="1" applyAlignment="1">
      <alignment horizontal="left" vertical="center" wrapText="1" indent="1"/>
    </xf>
    <xf numFmtId="0" fontId="1639" fillId="0" borderId="1" xfId="0" applyFont="1" applyBorder="1" applyAlignment="1">
      <alignment horizontal="left" vertical="center" wrapText="1" indent="1"/>
    </xf>
    <xf numFmtId="0" fontId="1640" fillId="0" borderId="1" xfId="0" applyFont="1" applyBorder="1" applyAlignment="1">
      <alignment horizontal="left" vertical="center" wrapText="1" indent="1"/>
    </xf>
    <xf numFmtId="0" fontId="1641" fillId="0" borderId="1" xfId="0" applyFont="1" applyBorder="1" applyAlignment="1">
      <alignment horizontal="left" vertical="center" wrapText="1" indent="1"/>
    </xf>
    <xf numFmtId="0" fontId="1642" fillId="0" borderId="1" xfId="0" applyFont="1" applyBorder="1" applyAlignment="1">
      <alignment horizontal="left" vertical="center" wrapText="1" indent="1"/>
    </xf>
    <xf numFmtId="0" fontId="1643" fillId="0" borderId="1" xfId="0" applyFont="1" applyBorder="1" applyAlignment="1">
      <alignment horizontal="left" vertical="center" wrapText="1" indent="1"/>
    </xf>
    <xf numFmtId="0" fontId="1644" fillId="0" borderId="1" xfId="0" applyFont="1" applyBorder="1" applyAlignment="1">
      <alignment horizontal="left" vertical="center" wrapText="1" indent="1"/>
    </xf>
    <xf numFmtId="0" fontId="1645" fillId="0" borderId="1" xfId="0" applyFont="1" applyBorder="1" applyAlignment="1">
      <alignment horizontal="left" vertical="center" wrapText="1" indent="1"/>
    </xf>
    <xf numFmtId="0" fontId="1646" fillId="0" borderId="1" xfId="0" applyFont="1" applyBorder="1" applyAlignment="1">
      <alignment horizontal="left" vertical="center" wrapText="1" indent="1"/>
    </xf>
    <xf numFmtId="0" fontId="1647" fillId="0" borderId="1" xfId="0" applyFont="1" applyBorder="1" applyAlignment="1">
      <alignment horizontal="left" vertical="center" wrapText="1" indent="1"/>
    </xf>
    <xf numFmtId="0" fontId="1648" fillId="0" borderId="1" xfId="0" applyFont="1" applyBorder="1" applyAlignment="1">
      <alignment horizontal="left" vertical="center" wrapText="1" indent="1"/>
    </xf>
    <xf numFmtId="0" fontId="1649" fillId="0" borderId="1" xfId="0" applyFont="1" applyBorder="1" applyAlignment="1">
      <alignment horizontal="left" vertical="center" wrapText="1" indent="1"/>
    </xf>
    <xf numFmtId="0" fontId="1650" fillId="0" borderId="1" xfId="0" applyFont="1" applyBorder="1" applyAlignment="1">
      <alignment horizontal="left" vertical="center" wrapText="1" indent="1"/>
    </xf>
    <xf numFmtId="0" fontId="1651" fillId="0" borderId="1" xfId="0" applyFont="1" applyBorder="1" applyAlignment="1">
      <alignment horizontal="left" vertical="center" wrapText="1" indent="1"/>
    </xf>
    <xf numFmtId="0" fontId="1652" fillId="0" borderId="1" xfId="0" applyFont="1" applyBorder="1" applyAlignment="1">
      <alignment horizontal="left" vertical="center" wrapText="1" indent="1"/>
    </xf>
    <xf numFmtId="0" fontId="1653" fillId="0" borderId="1" xfId="0" applyFont="1" applyBorder="1" applyAlignment="1">
      <alignment horizontal="left" vertical="center" wrapText="1" indent="1"/>
    </xf>
    <xf numFmtId="0" fontId="1654" fillId="0" borderId="1" xfId="0" applyFont="1" applyBorder="1" applyAlignment="1">
      <alignment horizontal="left" vertical="center" wrapText="1" indent="1"/>
    </xf>
    <xf numFmtId="0" fontId="1655" fillId="0" borderId="1" xfId="0" applyFont="1" applyBorder="1" applyAlignment="1">
      <alignment horizontal="left" vertical="center" wrapText="1" indent="1"/>
    </xf>
    <xf numFmtId="0" fontId="1656" fillId="0" borderId="1" xfId="0" applyFont="1" applyBorder="1" applyAlignment="1">
      <alignment horizontal="left" vertical="center" wrapText="1" indent="1"/>
    </xf>
    <xf numFmtId="0" fontId="1657" fillId="0" borderId="1" xfId="0" applyFont="1" applyBorder="1" applyAlignment="1">
      <alignment horizontal="left" vertical="center" wrapText="1" indent="1"/>
    </xf>
    <xf numFmtId="0" fontId="1658" fillId="0" borderId="1" xfId="0" applyFont="1" applyBorder="1" applyAlignment="1">
      <alignment horizontal="left" vertical="center" wrapText="1" indent="1"/>
    </xf>
    <xf numFmtId="0" fontId="1659" fillId="0" borderId="1" xfId="0" applyFont="1" applyBorder="1" applyAlignment="1">
      <alignment horizontal="left" vertical="center" wrapText="1" indent="1"/>
    </xf>
    <xf numFmtId="0" fontId="1660" fillId="0" borderId="1" xfId="0" applyFont="1" applyBorder="1" applyAlignment="1">
      <alignment horizontal="left" vertical="center" wrapText="1" indent="1"/>
    </xf>
    <xf numFmtId="0" fontId="1661" fillId="0" borderId="1" xfId="0" applyFont="1" applyBorder="1" applyAlignment="1">
      <alignment horizontal="left" vertical="center" wrapText="1" indent="1"/>
    </xf>
    <xf numFmtId="0" fontId="1662" fillId="0" borderId="1" xfId="0" applyFont="1" applyBorder="1" applyAlignment="1">
      <alignment horizontal="left" vertical="center" wrapText="1" indent="1"/>
    </xf>
    <xf numFmtId="0" fontId="1663" fillId="0" borderId="1" xfId="0" applyFont="1" applyBorder="1" applyAlignment="1">
      <alignment horizontal="left" vertical="center" wrapText="1" indent="1"/>
    </xf>
    <xf numFmtId="0" fontId="1664" fillId="0" borderId="1" xfId="0" applyFont="1" applyBorder="1" applyAlignment="1">
      <alignment horizontal="left" vertical="center" wrapText="1" indent="1"/>
    </xf>
    <xf numFmtId="0" fontId="1665" fillId="0" borderId="1" xfId="0" applyFont="1" applyBorder="1" applyAlignment="1">
      <alignment horizontal="left" vertical="center" wrapText="1" indent="1"/>
    </xf>
    <xf numFmtId="0" fontId="1666" fillId="0" borderId="1" xfId="0" applyFont="1" applyBorder="1" applyAlignment="1">
      <alignment horizontal="left" vertical="center" wrapText="1" indent="1"/>
    </xf>
    <xf numFmtId="0" fontId="1667" fillId="0" borderId="1" xfId="0" applyFont="1" applyBorder="1" applyAlignment="1">
      <alignment horizontal="left" vertical="center" wrapText="1" indent="1"/>
    </xf>
    <xf numFmtId="0" fontId="1668" fillId="0" borderId="1" xfId="0" applyFont="1" applyBorder="1" applyAlignment="1">
      <alignment horizontal="left" vertical="center" wrapText="1" indent="1"/>
    </xf>
    <xf numFmtId="0" fontId="1669" fillId="0" borderId="1" xfId="0" applyFont="1" applyBorder="1" applyAlignment="1">
      <alignment horizontal="left" vertical="center" wrapText="1" indent="1"/>
    </xf>
    <xf numFmtId="0" fontId="1670" fillId="0" borderId="1" xfId="0" applyFont="1" applyBorder="1" applyAlignment="1">
      <alignment horizontal="left" vertical="center" wrapText="1" indent="1"/>
    </xf>
    <xf numFmtId="0" fontId="1671" fillId="0" borderId="1" xfId="0" applyFont="1" applyBorder="1" applyAlignment="1">
      <alignment horizontal="left" vertical="center" wrapText="1" indent="1"/>
    </xf>
    <xf numFmtId="0" fontId="1672" fillId="0" borderId="1" xfId="0" applyFont="1" applyBorder="1" applyAlignment="1">
      <alignment horizontal="left" vertical="center" wrapText="1" indent="1"/>
    </xf>
    <xf numFmtId="0" fontId="1673" fillId="0" borderId="1" xfId="0" applyFont="1" applyBorder="1" applyAlignment="1">
      <alignment horizontal="left" vertical="center" wrapText="1" indent="1"/>
    </xf>
    <xf numFmtId="0" fontId="1674" fillId="0" borderId="1" xfId="0" applyFont="1" applyBorder="1" applyAlignment="1">
      <alignment horizontal="left" vertical="center" wrapText="1" indent="1"/>
    </xf>
    <xf numFmtId="0" fontId="1675" fillId="0" borderId="1" xfId="0" applyFont="1" applyBorder="1" applyAlignment="1">
      <alignment horizontal="left" vertical="center" wrapText="1" indent="1"/>
    </xf>
    <xf numFmtId="0" fontId="1676" fillId="0" borderId="1" xfId="0" applyFont="1" applyBorder="1" applyAlignment="1">
      <alignment horizontal="left" vertical="center" wrapText="1" indent="1"/>
    </xf>
    <xf numFmtId="0" fontId="1677" fillId="0" borderId="1" xfId="0" applyFont="1" applyBorder="1" applyAlignment="1">
      <alignment horizontal="left" vertical="center" wrapText="1" indent="1"/>
    </xf>
    <xf numFmtId="0" fontId="1678" fillId="0" borderId="1" xfId="0" applyFont="1" applyBorder="1" applyAlignment="1">
      <alignment horizontal="left" vertical="center" wrapText="1" indent="1"/>
    </xf>
    <xf numFmtId="0" fontId="1679" fillId="0" borderId="1" xfId="0" applyFont="1" applyBorder="1" applyAlignment="1">
      <alignment horizontal="left" vertical="center" wrapText="1" indent="1"/>
    </xf>
    <xf numFmtId="0" fontId="1680" fillId="0" borderId="1" xfId="0" applyFont="1" applyBorder="1" applyAlignment="1">
      <alignment horizontal="left" vertical="center" wrapText="1" indent="1"/>
    </xf>
    <xf numFmtId="0" fontId="1681" fillId="0" borderId="1" xfId="0" applyFont="1" applyBorder="1" applyAlignment="1">
      <alignment horizontal="left" vertical="center" wrapText="1" indent="1"/>
    </xf>
    <xf numFmtId="0" fontId="1682" fillId="0" borderId="1" xfId="0" applyFont="1" applyBorder="1" applyAlignment="1">
      <alignment horizontal="left" vertical="center" wrapText="1" indent="1"/>
    </xf>
    <xf numFmtId="0" fontId="1683" fillId="0" borderId="1" xfId="0" applyFont="1" applyBorder="1" applyAlignment="1">
      <alignment horizontal="left" vertical="center" wrapText="1" indent="1"/>
    </xf>
    <xf numFmtId="0" fontId="1684" fillId="0" borderId="1" xfId="0" applyFont="1" applyBorder="1" applyAlignment="1">
      <alignment horizontal="left" vertical="center" wrapText="1" indent="1"/>
    </xf>
    <xf numFmtId="0" fontId="1685" fillId="0" borderId="1" xfId="0" applyFont="1" applyBorder="1" applyAlignment="1">
      <alignment horizontal="left" vertical="center" wrapText="1" indent="1"/>
    </xf>
    <xf numFmtId="0" fontId="1686" fillId="0" borderId="1" xfId="0" applyFont="1" applyBorder="1" applyAlignment="1">
      <alignment horizontal="left" vertical="center" wrapText="1" indent="1"/>
    </xf>
    <xf numFmtId="0" fontId="1687" fillId="0" borderId="1" xfId="0" applyFont="1" applyBorder="1" applyAlignment="1">
      <alignment horizontal="left" vertical="center" wrapText="1" indent="1"/>
    </xf>
    <xf numFmtId="0" fontId="1688" fillId="0" borderId="1" xfId="0" applyFont="1" applyBorder="1" applyAlignment="1">
      <alignment horizontal="left" vertical="center" wrapText="1" indent="1"/>
    </xf>
    <xf numFmtId="0" fontId="1689" fillId="0" borderId="1" xfId="0" applyFont="1" applyBorder="1" applyAlignment="1">
      <alignment horizontal="left" vertical="center" wrapText="1" indent="1"/>
    </xf>
    <xf numFmtId="0" fontId="1690" fillId="0" borderId="1" xfId="0" applyFont="1" applyBorder="1" applyAlignment="1">
      <alignment horizontal="left" vertical="center" wrapText="1" indent="1"/>
    </xf>
    <xf numFmtId="0" fontId="1691" fillId="0" borderId="1" xfId="0" applyFont="1" applyBorder="1" applyAlignment="1">
      <alignment horizontal="left" vertical="center" wrapText="1" indent="1"/>
    </xf>
    <xf numFmtId="0" fontId="1692" fillId="0" borderId="1" xfId="0" applyFont="1" applyBorder="1" applyAlignment="1">
      <alignment horizontal="left" vertical="center" wrapText="1" indent="1"/>
    </xf>
    <xf numFmtId="0" fontId="1693" fillId="0" borderId="1" xfId="0" applyFont="1" applyBorder="1" applyAlignment="1">
      <alignment horizontal="left" vertical="center" wrapText="1" indent="1"/>
    </xf>
    <xf numFmtId="0" fontId="1694" fillId="0" borderId="1" xfId="0" applyFont="1" applyBorder="1" applyAlignment="1">
      <alignment horizontal="left" vertical="center" wrapText="1" indent="1"/>
    </xf>
    <xf numFmtId="0" fontId="1695" fillId="0" borderId="1" xfId="0" applyFont="1" applyBorder="1" applyAlignment="1">
      <alignment horizontal="left" vertical="center" wrapText="1" indent="1"/>
    </xf>
    <xf numFmtId="0" fontId="1696" fillId="0" borderId="1" xfId="0" applyFont="1" applyBorder="1" applyAlignment="1">
      <alignment horizontal="left" vertical="center" wrapText="1" indent="1"/>
    </xf>
    <xf numFmtId="0" fontId="1697" fillId="0" borderId="1" xfId="0" applyFont="1" applyBorder="1" applyAlignment="1">
      <alignment horizontal="left" vertical="center" wrapText="1" indent="1"/>
    </xf>
    <xf numFmtId="0" fontId="1698" fillId="0" borderId="1" xfId="0" applyFont="1" applyBorder="1" applyAlignment="1">
      <alignment horizontal="left" vertical="center" wrapText="1" indent="1"/>
    </xf>
    <xf numFmtId="0" fontId="1699" fillId="0" borderId="1" xfId="0" applyFont="1" applyBorder="1" applyAlignment="1">
      <alignment horizontal="left" vertical="center" wrapText="1" indent="1"/>
    </xf>
    <xf numFmtId="0" fontId="1700" fillId="0" borderId="1" xfId="0" applyFont="1" applyBorder="1" applyAlignment="1">
      <alignment horizontal="left" vertical="center" wrapText="1" indent="1"/>
    </xf>
    <xf numFmtId="0" fontId="1701" fillId="0" borderId="1" xfId="0" applyFont="1" applyBorder="1" applyAlignment="1">
      <alignment horizontal="left" vertical="center" wrapText="1" indent="1"/>
    </xf>
    <xf numFmtId="0" fontId="1702" fillId="0" borderId="1" xfId="0" applyFont="1" applyBorder="1" applyAlignment="1">
      <alignment horizontal="left" vertical="center" wrapText="1" indent="1"/>
    </xf>
    <xf numFmtId="0" fontId="1703" fillId="0" borderId="1" xfId="0" applyFont="1" applyBorder="1" applyAlignment="1">
      <alignment horizontal="left" vertical="center" wrapText="1" indent="1"/>
    </xf>
    <xf numFmtId="0" fontId="1704" fillId="0" borderId="1" xfId="0" applyFont="1" applyBorder="1" applyAlignment="1">
      <alignment horizontal="left" vertical="center" wrapText="1" indent="1"/>
    </xf>
    <xf numFmtId="0" fontId="1705" fillId="0" borderId="1" xfId="0" applyFont="1" applyBorder="1" applyAlignment="1">
      <alignment horizontal="left" vertical="center" wrapText="1" indent="1"/>
    </xf>
    <xf numFmtId="0" fontId="1706" fillId="0" borderId="1" xfId="0" applyFont="1" applyBorder="1" applyAlignment="1">
      <alignment horizontal="left" vertical="center" wrapText="1" indent="1"/>
    </xf>
    <xf numFmtId="0" fontId="1707" fillId="0" borderId="1" xfId="0" applyFont="1" applyBorder="1" applyAlignment="1">
      <alignment horizontal="left" vertical="center" wrapText="1" indent="1"/>
    </xf>
    <xf numFmtId="0" fontId="1708" fillId="0" borderId="1" xfId="0" applyFont="1" applyBorder="1" applyAlignment="1">
      <alignment horizontal="left" vertical="center" wrapText="1" indent="1"/>
    </xf>
    <xf numFmtId="0" fontId="1709" fillId="0" borderId="1" xfId="0" applyFont="1" applyBorder="1" applyAlignment="1">
      <alignment horizontal="left" vertical="center" wrapText="1" indent="1"/>
    </xf>
    <xf numFmtId="0" fontId="1710" fillId="0" borderId="1" xfId="0" applyFont="1" applyBorder="1" applyAlignment="1">
      <alignment horizontal="left" vertical="center" wrapText="1" indent="1"/>
    </xf>
    <xf numFmtId="0" fontId="1711" fillId="0" borderId="1" xfId="0" applyFont="1" applyBorder="1" applyAlignment="1">
      <alignment horizontal="left" vertical="center" wrapText="1" indent="1"/>
    </xf>
    <xf numFmtId="0" fontId="1712" fillId="0" borderId="1" xfId="0" applyFont="1" applyBorder="1" applyAlignment="1">
      <alignment horizontal="left" vertical="center" wrapText="1" indent="1"/>
    </xf>
    <xf numFmtId="0" fontId="1713" fillId="0" borderId="1" xfId="0" applyFont="1" applyBorder="1" applyAlignment="1">
      <alignment horizontal="left" vertical="center" wrapText="1" indent="1"/>
    </xf>
    <xf numFmtId="0" fontId="1714" fillId="0" borderId="1" xfId="0" applyFont="1" applyBorder="1" applyAlignment="1">
      <alignment horizontal="left" vertical="center" wrapText="1" indent="1"/>
    </xf>
    <xf numFmtId="0" fontId="1715" fillId="0" borderId="1" xfId="0" applyFont="1" applyBorder="1" applyAlignment="1">
      <alignment horizontal="left" vertical="center" wrapText="1" indent="1"/>
    </xf>
    <xf numFmtId="0" fontId="1716" fillId="0" borderId="1" xfId="0" applyFont="1" applyBorder="1" applyAlignment="1">
      <alignment horizontal="left" vertical="center" wrapText="1" indent="1"/>
    </xf>
    <xf numFmtId="0" fontId="1717" fillId="0" borderId="1" xfId="0" applyFont="1" applyBorder="1" applyAlignment="1">
      <alignment horizontal="left" vertical="center" wrapText="1" indent="1"/>
    </xf>
    <xf numFmtId="0" fontId="1718" fillId="0" borderId="1" xfId="0" applyFont="1" applyBorder="1" applyAlignment="1">
      <alignment horizontal="left" vertical="center" wrapText="1" indent="1"/>
    </xf>
    <xf numFmtId="0" fontId="1719" fillId="0" borderId="1" xfId="0" applyFont="1" applyBorder="1" applyAlignment="1">
      <alignment horizontal="left" vertical="center" wrapText="1" indent="1"/>
    </xf>
    <xf numFmtId="0" fontId="1720" fillId="0" borderId="1" xfId="0" applyFont="1" applyBorder="1" applyAlignment="1">
      <alignment horizontal="left" vertical="center" wrapText="1" indent="1"/>
    </xf>
    <xf numFmtId="0" fontId="1721" fillId="0" borderId="1" xfId="0" applyFont="1" applyBorder="1" applyAlignment="1">
      <alignment horizontal="left" vertical="center" wrapText="1" indent="1"/>
    </xf>
    <xf numFmtId="0" fontId="1722" fillId="0" borderId="1" xfId="0" applyFont="1" applyBorder="1" applyAlignment="1">
      <alignment horizontal="left" vertical="center" wrapText="1" indent="1"/>
    </xf>
    <xf numFmtId="0" fontId="1723" fillId="0" borderId="1" xfId="0" applyFont="1" applyBorder="1" applyAlignment="1">
      <alignment horizontal="left" vertical="center" wrapText="1" indent="1"/>
    </xf>
    <xf numFmtId="0" fontId="1724" fillId="0" borderId="1" xfId="0" applyFont="1" applyBorder="1" applyAlignment="1">
      <alignment horizontal="left" vertical="center" wrapText="1" indent="1"/>
    </xf>
    <xf numFmtId="0" fontId="1725" fillId="0" borderId="1" xfId="0" applyFont="1" applyBorder="1" applyAlignment="1">
      <alignment horizontal="left" vertical="center" wrapText="1" indent="1"/>
    </xf>
    <xf numFmtId="0" fontId="1726" fillId="0" borderId="1" xfId="0" applyFont="1" applyBorder="1" applyAlignment="1">
      <alignment horizontal="left" vertical="center" wrapText="1" indent="1"/>
    </xf>
    <xf numFmtId="0" fontId="1727" fillId="0" borderId="1" xfId="0" applyFont="1" applyBorder="1" applyAlignment="1">
      <alignment horizontal="left" vertical="center" wrapText="1" indent="1"/>
    </xf>
    <xf numFmtId="0" fontId="1728" fillId="0" borderId="1" xfId="0" applyFont="1" applyBorder="1" applyAlignment="1">
      <alignment horizontal="left" vertical="center" wrapText="1" indent="1"/>
    </xf>
    <xf numFmtId="0" fontId="1729" fillId="0" borderId="1" xfId="0" applyFont="1" applyBorder="1" applyAlignment="1">
      <alignment horizontal="left" vertical="center" wrapText="1" indent="1"/>
    </xf>
    <xf numFmtId="0" fontId="1730" fillId="0" borderId="1" xfId="0" applyFont="1" applyBorder="1" applyAlignment="1">
      <alignment horizontal="left" vertical="center" wrapText="1" indent="1"/>
    </xf>
    <xf numFmtId="0" fontId="1731" fillId="0" borderId="1" xfId="0" applyFont="1" applyBorder="1" applyAlignment="1">
      <alignment horizontal="left" vertical="center" wrapText="1" indent="1"/>
    </xf>
    <xf numFmtId="0" fontId="1732" fillId="0" borderId="1" xfId="0" applyFont="1" applyBorder="1" applyAlignment="1">
      <alignment horizontal="left" vertical="center" wrapText="1" indent="1"/>
    </xf>
    <xf numFmtId="0" fontId="1733" fillId="0" borderId="1" xfId="0" applyFont="1" applyBorder="1" applyAlignment="1">
      <alignment horizontal="left" vertical="center" wrapText="1" indent="1"/>
    </xf>
    <xf numFmtId="0" fontId="1734" fillId="0" borderId="1" xfId="0" applyFont="1" applyBorder="1" applyAlignment="1">
      <alignment horizontal="left" vertical="center" wrapText="1" indent="1"/>
    </xf>
    <xf numFmtId="0" fontId="1735" fillId="0" borderId="1" xfId="0" applyFont="1" applyBorder="1" applyAlignment="1">
      <alignment horizontal="left" vertical="center" wrapText="1" indent="1"/>
    </xf>
    <xf numFmtId="0" fontId="1736" fillId="0" borderId="1" xfId="0" applyFont="1" applyBorder="1" applyAlignment="1">
      <alignment horizontal="left" vertical="center" wrapText="1" indent="1"/>
    </xf>
    <xf numFmtId="0" fontId="1737" fillId="0" borderId="1" xfId="0" applyFont="1" applyBorder="1" applyAlignment="1">
      <alignment horizontal="left" vertical="center" wrapText="1" indent="1"/>
    </xf>
    <xf numFmtId="0" fontId="1738" fillId="0" borderId="1" xfId="0" applyFont="1" applyBorder="1" applyAlignment="1">
      <alignment horizontal="left" vertical="center" wrapText="1" indent="1"/>
    </xf>
    <xf numFmtId="0" fontId="1739" fillId="0" borderId="1" xfId="0" applyFont="1" applyBorder="1" applyAlignment="1">
      <alignment horizontal="left" vertical="center" wrapText="1" indent="1"/>
    </xf>
    <xf numFmtId="0" fontId="1740" fillId="0" borderId="1" xfId="0" applyFont="1" applyBorder="1" applyAlignment="1">
      <alignment horizontal="left" vertical="center" wrapText="1" indent="1"/>
    </xf>
    <xf numFmtId="0" fontId="1741" fillId="0" borderId="1" xfId="0" applyFont="1" applyBorder="1" applyAlignment="1">
      <alignment horizontal="left" vertical="center" wrapText="1" indent="1"/>
    </xf>
    <xf numFmtId="0" fontId="1742" fillId="0" borderId="1" xfId="0" applyFont="1" applyBorder="1" applyAlignment="1">
      <alignment horizontal="left" vertical="center" wrapText="1" indent="1"/>
    </xf>
    <xf numFmtId="0" fontId="1743" fillId="0" borderId="1" xfId="0" applyFont="1" applyBorder="1" applyAlignment="1">
      <alignment horizontal="left" vertical="center" wrapText="1" indent="1"/>
    </xf>
    <xf numFmtId="0" fontId="1744" fillId="0" borderId="1" xfId="0" applyFont="1" applyBorder="1" applyAlignment="1">
      <alignment horizontal="left" vertical="center" wrapText="1" indent="1"/>
    </xf>
    <xf numFmtId="0" fontId="1745" fillId="0" borderId="1" xfId="0" applyFont="1" applyBorder="1" applyAlignment="1">
      <alignment horizontal="left" vertical="center" wrapText="1" indent="1"/>
    </xf>
    <xf numFmtId="0" fontId="1746" fillId="0" borderId="1" xfId="0" applyFont="1" applyBorder="1" applyAlignment="1">
      <alignment horizontal="left" vertical="center" wrapText="1" indent="1"/>
    </xf>
    <xf numFmtId="0" fontId="1747" fillId="0" borderId="1" xfId="0" applyFont="1" applyBorder="1" applyAlignment="1">
      <alignment horizontal="left" vertical="center" wrapText="1" indent="1"/>
    </xf>
    <xf numFmtId="0" fontId="1748" fillId="0" borderId="1" xfId="0" applyFont="1" applyBorder="1" applyAlignment="1">
      <alignment horizontal="left" vertical="center" wrapText="1" indent="1"/>
    </xf>
    <xf numFmtId="0" fontId="1749" fillId="0" borderId="1" xfId="0" applyFont="1" applyBorder="1" applyAlignment="1">
      <alignment horizontal="left" vertical="center" wrapText="1" indent="1"/>
    </xf>
    <xf numFmtId="0" fontId="1750" fillId="0" borderId="1" xfId="0" applyFont="1" applyBorder="1" applyAlignment="1">
      <alignment horizontal="left" vertical="center" wrapText="1" indent="1"/>
    </xf>
    <xf numFmtId="0" fontId="1751" fillId="0" borderId="1" xfId="0" applyFont="1" applyBorder="1" applyAlignment="1">
      <alignment horizontal="left" vertical="center" wrapText="1" indent="1"/>
    </xf>
    <xf numFmtId="0" fontId="1752" fillId="0" borderId="1" xfId="0" applyFont="1" applyBorder="1" applyAlignment="1">
      <alignment horizontal="left" vertical="center" wrapText="1" indent="1"/>
    </xf>
    <xf numFmtId="0" fontId="1753" fillId="0" borderId="1" xfId="0" applyFont="1" applyBorder="1" applyAlignment="1">
      <alignment horizontal="left" vertical="center" wrapText="1" indent="1"/>
    </xf>
    <xf numFmtId="0" fontId="1754" fillId="0" borderId="1" xfId="0" applyFont="1" applyBorder="1" applyAlignment="1">
      <alignment horizontal="left" vertical="center" wrapText="1" indent="1"/>
    </xf>
    <xf numFmtId="0" fontId="1755" fillId="0" borderId="1" xfId="0" applyFont="1" applyBorder="1" applyAlignment="1">
      <alignment horizontal="left" vertical="center" wrapText="1" indent="1"/>
    </xf>
    <xf numFmtId="0" fontId="1756" fillId="0" borderId="1" xfId="0" applyFont="1" applyBorder="1" applyAlignment="1">
      <alignment horizontal="left" vertical="center" wrapText="1" indent="1"/>
    </xf>
    <xf numFmtId="0" fontId="1757" fillId="0" borderId="1" xfId="0" applyFont="1" applyBorder="1" applyAlignment="1">
      <alignment horizontal="left" vertical="center" wrapText="1" indent="1"/>
    </xf>
    <xf numFmtId="0" fontId="1758" fillId="0" borderId="1" xfId="0" applyFont="1" applyBorder="1" applyAlignment="1">
      <alignment horizontal="left" vertical="center" wrapText="1" indent="1"/>
    </xf>
    <xf numFmtId="0" fontId="1759" fillId="0" borderId="1" xfId="0" applyFont="1" applyBorder="1" applyAlignment="1">
      <alignment horizontal="left" vertical="center" wrapText="1" indent="1"/>
    </xf>
    <xf numFmtId="0" fontId="1760" fillId="0" borderId="1" xfId="0" applyFont="1" applyBorder="1" applyAlignment="1">
      <alignment horizontal="left" vertical="center" wrapText="1" indent="1"/>
    </xf>
    <xf numFmtId="0" fontId="1761" fillId="0" borderId="1" xfId="0" applyFont="1" applyBorder="1" applyAlignment="1">
      <alignment horizontal="left" vertical="center" wrapText="1" indent="1"/>
    </xf>
    <xf numFmtId="0" fontId="1762" fillId="0" borderId="1" xfId="0" applyFont="1" applyBorder="1" applyAlignment="1">
      <alignment horizontal="left" vertical="center" wrapText="1" indent="1"/>
    </xf>
    <xf numFmtId="0" fontId="1763" fillId="0" borderId="1" xfId="0" applyFont="1" applyBorder="1" applyAlignment="1">
      <alignment horizontal="left" vertical="center" wrapText="1" indent="1"/>
    </xf>
    <xf numFmtId="0" fontId="1764" fillId="0" borderId="1" xfId="0" applyFont="1" applyBorder="1" applyAlignment="1">
      <alignment horizontal="left" vertical="center" wrapText="1" indent="1"/>
    </xf>
    <xf numFmtId="0" fontId="1765" fillId="0" borderId="1" xfId="0" applyFont="1" applyBorder="1" applyAlignment="1">
      <alignment horizontal="left" vertical="center" wrapText="1" indent="1"/>
    </xf>
    <xf numFmtId="0" fontId="1766" fillId="0" borderId="1" xfId="0" applyFont="1" applyBorder="1" applyAlignment="1">
      <alignment horizontal="left" vertical="center" wrapText="1" indent="1"/>
    </xf>
    <xf numFmtId="0" fontId="1767" fillId="0" borderId="1" xfId="0" applyFont="1" applyBorder="1" applyAlignment="1">
      <alignment horizontal="left" vertical="center" wrapText="1" indent="1"/>
    </xf>
    <xf numFmtId="0" fontId="1768" fillId="0" borderId="1" xfId="0" applyFont="1" applyBorder="1" applyAlignment="1">
      <alignment horizontal="left" vertical="center" wrapText="1" indent="1"/>
    </xf>
    <xf numFmtId="0" fontId="1769" fillId="0" borderId="1" xfId="0" applyFont="1" applyBorder="1" applyAlignment="1">
      <alignment horizontal="left" vertical="center" wrapText="1" indent="1"/>
    </xf>
    <xf numFmtId="0" fontId="1770" fillId="0" borderId="1" xfId="0" applyFont="1" applyBorder="1" applyAlignment="1">
      <alignment horizontal="left" vertical="center" wrapText="1" indent="1"/>
    </xf>
    <xf numFmtId="0" fontId="1771" fillId="0" borderId="1" xfId="0" applyFont="1" applyBorder="1" applyAlignment="1">
      <alignment horizontal="left" vertical="center" wrapText="1" indent="1"/>
    </xf>
    <xf numFmtId="0" fontId="1772" fillId="0" borderId="1" xfId="0" applyFont="1" applyBorder="1" applyAlignment="1">
      <alignment horizontal="left" vertical="center" wrapText="1" indent="1"/>
    </xf>
    <xf numFmtId="0" fontId="1773" fillId="0" borderId="1" xfId="0" applyFont="1" applyBorder="1" applyAlignment="1">
      <alignment horizontal="left" vertical="center" wrapText="1" indent="1"/>
    </xf>
    <xf numFmtId="0" fontId="1774" fillId="0" borderId="1" xfId="0" applyFont="1" applyBorder="1" applyAlignment="1">
      <alignment horizontal="left" vertical="center" wrapText="1" indent="1"/>
    </xf>
    <xf numFmtId="0" fontId="1775" fillId="0" borderId="1" xfId="0" applyFont="1" applyBorder="1" applyAlignment="1">
      <alignment horizontal="left" vertical="center" wrapText="1" indent="1"/>
    </xf>
    <xf numFmtId="0" fontId="1776" fillId="0" borderId="1" xfId="0" applyFont="1" applyBorder="1" applyAlignment="1">
      <alignment horizontal="left" vertical="center" wrapText="1" indent="1"/>
    </xf>
    <xf numFmtId="0" fontId="1777" fillId="0" borderId="1" xfId="0" applyFont="1" applyBorder="1" applyAlignment="1">
      <alignment horizontal="left" vertical="center" wrapText="1" indent="1"/>
    </xf>
    <xf numFmtId="0" fontId="1778" fillId="0" borderId="1" xfId="0" applyFont="1" applyBorder="1" applyAlignment="1">
      <alignment horizontal="left" vertical="center" wrapText="1" indent="1"/>
    </xf>
    <xf numFmtId="0" fontId="1779" fillId="0" borderId="1" xfId="0" applyFont="1" applyBorder="1" applyAlignment="1">
      <alignment horizontal="left" vertical="center" wrapText="1" indent="1"/>
    </xf>
    <xf numFmtId="0" fontId="1780" fillId="0" borderId="1" xfId="0" applyFont="1" applyBorder="1" applyAlignment="1">
      <alignment horizontal="left" vertical="center" wrapText="1" indent="1"/>
    </xf>
    <xf numFmtId="0" fontId="1781" fillId="0" borderId="1" xfId="0" applyFont="1" applyBorder="1" applyAlignment="1">
      <alignment horizontal="left" vertical="center" wrapText="1" indent="1"/>
    </xf>
    <xf numFmtId="0" fontId="1782" fillId="0" borderId="1" xfId="0" applyFont="1" applyBorder="1" applyAlignment="1">
      <alignment horizontal="left" vertical="center" wrapText="1" indent="1"/>
    </xf>
    <xf numFmtId="0" fontId="1783" fillId="0" borderId="1" xfId="0" applyFont="1" applyBorder="1" applyAlignment="1">
      <alignment horizontal="left" vertical="center" wrapText="1" indent="1"/>
    </xf>
    <xf numFmtId="0" fontId="1784" fillId="0" borderId="1" xfId="0" applyFont="1" applyBorder="1" applyAlignment="1">
      <alignment horizontal="left" vertical="center" wrapText="1" indent="1"/>
    </xf>
    <xf numFmtId="0" fontId="1785" fillId="0" borderId="1" xfId="0" applyFont="1" applyBorder="1" applyAlignment="1">
      <alignment horizontal="left" vertical="center" wrapText="1" indent="1"/>
    </xf>
    <xf numFmtId="0" fontId="1786" fillId="0" borderId="1" xfId="0" applyFont="1" applyBorder="1" applyAlignment="1">
      <alignment horizontal="left" vertical="center" wrapText="1" indent="1"/>
    </xf>
    <xf numFmtId="0" fontId="1787" fillId="0" borderId="1" xfId="0" applyFont="1" applyBorder="1" applyAlignment="1">
      <alignment horizontal="left" vertical="center" wrapText="1" indent="1"/>
    </xf>
    <xf numFmtId="0" fontId="1788" fillId="0" borderId="1" xfId="0" applyFont="1" applyBorder="1" applyAlignment="1">
      <alignment horizontal="left" vertical="center" wrapText="1" indent="1"/>
    </xf>
    <xf numFmtId="0" fontId="1789" fillId="0" borderId="1" xfId="0" applyFont="1" applyBorder="1" applyAlignment="1">
      <alignment horizontal="left" vertical="center" wrapText="1" indent="1"/>
    </xf>
    <xf numFmtId="0" fontId="1790" fillId="0" borderId="1" xfId="0" applyFont="1" applyBorder="1" applyAlignment="1">
      <alignment horizontal="left" vertical="center" wrapText="1" indent="1"/>
    </xf>
    <xf numFmtId="0" fontId="1791" fillId="0" borderId="1" xfId="0" applyFont="1" applyBorder="1" applyAlignment="1">
      <alignment horizontal="left" vertical="center" wrapText="1" indent="1"/>
    </xf>
    <xf numFmtId="0" fontId="1792" fillId="0" borderId="1" xfId="0" applyFont="1" applyBorder="1" applyAlignment="1">
      <alignment horizontal="left" vertical="center" wrapText="1" indent="1"/>
    </xf>
    <xf numFmtId="0" fontId="1793" fillId="0" borderId="1" xfId="0" applyFont="1" applyBorder="1" applyAlignment="1">
      <alignment horizontal="left" vertical="center" wrapText="1" indent="1"/>
    </xf>
    <xf numFmtId="0" fontId="1794" fillId="0" borderId="1" xfId="0" applyFont="1" applyBorder="1" applyAlignment="1">
      <alignment horizontal="left" vertical="center" wrapText="1" indent="1"/>
    </xf>
    <xf numFmtId="0" fontId="1795" fillId="0" borderId="1" xfId="0" applyFont="1" applyBorder="1" applyAlignment="1">
      <alignment horizontal="left" vertical="center" wrapText="1" indent="1"/>
    </xf>
    <xf numFmtId="0" fontId="1796" fillId="0" borderId="1" xfId="0" applyFont="1" applyBorder="1" applyAlignment="1">
      <alignment horizontal="left" vertical="center" wrapText="1" indent="1"/>
    </xf>
    <xf numFmtId="0" fontId="1797" fillId="0" borderId="1" xfId="0" applyFont="1" applyBorder="1" applyAlignment="1">
      <alignment horizontal="left" vertical="center" wrapText="1" indent="1"/>
    </xf>
    <xf numFmtId="0" fontId="1798" fillId="0" borderId="1" xfId="0" applyFont="1" applyBorder="1" applyAlignment="1">
      <alignment horizontal="left" vertical="center" wrapText="1" indent="1"/>
    </xf>
    <xf numFmtId="0" fontId="1799" fillId="0" borderId="1" xfId="0" applyFont="1" applyBorder="1" applyAlignment="1">
      <alignment horizontal="left" vertical="center" wrapText="1" indent="1"/>
    </xf>
    <xf numFmtId="0" fontId="1800" fillId="0" borderId="1" xfId="0" applyFont="1" applyBorder="1" applyAlignment="1">
      <alignment horizontal="left" vertical="center" wrapText="1" indent="1"/>
    </xf>
    <xf numFmtId="0" fontId="1801" fillId="0" borderId="1" xfId="0" applyFont="1" applyBorder="1" applyAlignment="1">
      <alignment horizontal="left" vertical="center" wrapText="1" indent="1"/>
    </xf>
    <xf numFmtId="0" fontId="1802" fillId="0" borderId="1" xfId="0" applyFont="1" applyBorder="1" applyAlignment="1">
      <alignment horizontal="left" vertical="center" wrapText="1" indent="1"/>
    </xf>
    <xf numFmtId="0" fontId="1803" fillId="0" borderId="1" xfId="0" applyFont="1" applyBorder="1" applyAlignment="1">
      <alignment horizontal="left" vertical="center" wrapText="1" indent="1"/>
    </xf>
    <xf numFmtId="0" fontId="1804" fillId="0" borderId="1" xfId="0" applyFont="1" applyBorder="1" applyAlignment="1">
      <alignment horizontal="left" vertical="center" wrapText="1" indent="1"/>
    </xf>
    <xf numFmtId="0" fontId="1805" fillId="0" borderId="1" xfId="0" applyFont="1" applyBorder="1" applyAlignment="1">
      <alignment horizontal="left" vertical="center" wrapText="1" indent="1"/>
    </xf>
    <xf numFmtId="0" fontId="1806" fillId="0" borderId="1" xfId="0" applyFont="1" applyBorder="1" applyAlignment="1">
      <alignment horizontal="left" vertical="center" wrapText="1" indent="1"/>
    </xf>
    <xf numFmtId="0" fontId="1807" fillId="0" borderId="1" xfId="0" applyFont="1" applyBorder="1" applyAlignment="1">
      <alignment horizontal="left" vertical="center" wrapText="1" indent="1"/>
    </xf>
    <xf numFmtId="0" fontId="1808" fillId="0" borderId="1" xfId="0" applyFont="1" applyBorder="1" applyAlignment="1">
      <alignment horizontal="left" vertical="center" wrapText="1" indent="1"/>
    </xf>
    <xf numFmtId="0" fontId="1809" fillId="0" borderId="1" xfId="0" applyFont="1" applyBorder="1" applyAlignment="1">
      <alignment horizontal="left" vertical="center" wrapText="1" indent="1"/>
    </xf>
    <xf numFmtId="0" fontId="1810" fillId="0" borderId="1" xfId="0" applyFont="1" applyBorder="1" applyAlignment="1">
      <alignment horizontal="left" vertical="center" wrapText="1" indent="1"/>
    </xf>
    <xf numFmtId="0" fontId="1811" fillId="0" borderId="1" xfId="0" applyFont="1" applyBorder="1" applyAlignment="1">
      <alignment horizontal="left" vertical="center" wrapText="1" indent="1"/>
    </xf>
    <xf numFmtId="0" fontId="1812" fillId="0" borderId="1" xfId="0" applyFont="1" applyBorder="1" applyAlignment="1">
      <alignment horizontal="left" vertical="center" wrapText="1" indent="1"/>
    </xf>
    <xf numFmtId="0" fontId="1813" fillId="0" borderId="1" xfId="0" applyFont="1" applyBorder="1" applyAlignment="1">
      <alignment horizontal="left" vertical="center" wrapText="1" indent="1"/>
    </xf>
    <xf numFmtId="0" fontId="1814" fillId="0" borderId="1" xfId="0" applyFont="1" applyBorder="1" applyAlignment="1">
      <alignment horizontal="left" vertical="center" wrapText="1" indent="1"/>
    </xf>
    <xf numFmtId="0" fontId="1815" fillId="0" borderId="1" xfId="0" applyFont="1" applyBorder="1" applyAlignment="1">
      <alignment horizontal="left" vertical="center" wrapText="1" indent="1"/>
    </xf>
    <xf numFmtId="0" fontId="1816" fillId="0" borderId="1" xfId="0" applyFont="1" applyBorder="1" applyAlignment="1">
      <alignment horizontal="left" vertical="center" wrapText="1" indent="1"/>
    </xf>
    <xf numFmtId="0" fontId="1817" fillId="0" borderId="1" xfId="0" applyFont="1" applyBorder="1" applyAlignment="1">
      <alignment horizontal="left" vertical="center" wrapText="1" indent="1"/>
    </xf>
    <xf numFmtId="0" fontId="1818" fillId="0" borderId="1" xfId="0" applyFont="1" applyBorder="1" applyAlignment="1">
      <alignment horizontal="left" vertical="center" wrapText="1" indent="1"/>
    </xf>
    <xf numFmtId="0" fontId="1819" fillId="0" borderId="1" xfId="0" applyFont="1" applyBorder="1" applyAlignment="1">
      <alignment horizontal="left" vertical="center" wrapText="1" indent="1"/>
    </xf>
    <xf numFmtId="0" fontId="1820" fillId="0" borderId="1" xfId="0" applyFont="1" applyBorder="1" applyAlignment="1">
      <alignment horizontal="left" vertical="center" wrapText="1" indent="1"/>
    </xf>
    <xf numFmtId="0" fontId="1821" fillId="0" borderId="1" xfId="0" applyFont="1" applyBorder="1" applyAlignment="1">
      <alignment horizontal="left" vertical="center" wrapText="1" indent="1"/>
    </xf>
    <xf numFmtId="0" fontId="1822" fillId="0" borderId="1" xfId="0" applyFont="1" applyBorder="1" applyAlignment="1">
      <alignment horizontal="left" vertical="center" wrapText="1" indent="1"/>
    </xf>
    <xf numFmtId="0" fontId="1823" fillId="0" borderId="1" xfId="0" applyFont="1" applyBorder="1" applyAlignment="1">
      <alignment horizontal="left" vertical="center" wrapText="1" indent="1"/>
    </xf>
    <xf numFmtId="0" fontId="1824" fillId="0" borderId="1" xfId="0" applyFont="1" applyBorder="1" applyAlignment="1">
      <alignment horizontal="left" vertical="center" wrapText="1" indent="1"/>
    </xf>
    <xf numFmtId="0" fontId="1825" fillId="0" borderId="1" xfId="0" applyFont="1" applyBorder="1" applyAlignment="1">
      <alignment horizontal="left" vertical="center" wrapText="1" indent="1"/>
    </xf>
    <xf numFmtId="0" fontId="1826" fillId="0" borderId="1" xfId="0" applyFont="1" applyBorder="1" applyAlignment="1">
      <alignment horizontal="left" vertical="center" wrapText="1" indent="1"/>
    </xf>
    <xf numFmtId="0" fontId="1827" fillId="0" borderId="1" xfId="0" applyFont="1" applyBorder="1" applyAlignment="1">
      <alignment horizontal="left" vertical="center" wrapText="1" indent="1"/>
    </xf>
    <xf numFmtId="0" fontId="1828" fillId="0" borderId="1" xfId="0" applyFont="1" applyBorder="1" applyAlignment="1">
      <alignment horizontal="left" vertical="center" wrapText="1" indent="1"/>
    </xf>
    <xf numFmtId="0" fontId="1829" fillId="0" borderId="1" xfId="0" applyFont="1" applyBorder="1" applyAlignment="1">
      <alignment horizontal="left" vertical="center" wrapText="1" indent="1"/>
    </xf>
    <xf numFmtId="0" fontId="1830" fillId="0" borderId="1" xfId="0" applyFont="1" applyBorder="1" applyAlignment="1">
      <alignment horizontal="left" vertical="center" wrapText="1" indent="1"/>
    </xf>
    <xf numFmtId="0" fontId="1831" fillId="0" borderId="1" xfId="0" applyFont="1" applyBorder="1" applyAlignment="1">
      <alignment horizontal="left" vertical="center" wrapText="1" indent="1"/>
    </xf>
    <xf numFmtId="0" fontId="1832" fillId="0" borderId="1" xfId="0" applyFont="1" applyBorder="1" applyAlignment="1">
      <alignment horizontal="left" vertical="center" wrapText="1" indent="1"/>
    </xf>
    <xf numFmtId="0" fontId="1833" fillId="0" borderId="1" xfId="0" applyFont="1" applyBorder="1" applyAlignment="1">
      <alignment horizontal="left" vertical="center" wrapText="1" indent="1"/>
    </xf>
    <xf numFmtId="0" fontId="1834" fillId="0" borderId="1" xfId="0" applyFont="1" applyBorder="1" applyAlignment="1">
      <alignment horizontal="left" vertical="center" wrapText="1" indent="1"/>
    </xf>
    <xf numFmtId="0" fontId="1835" fillId="0" borderId="1" xfId="0" applyFont="1" applyBorder="1" applyAlignment="1">
      <alignment horizontal="left" vertical="center" wrapText="1" indent="1"/>
    </xf>
    <xf numFmtId="0" fontId="1836" fillId="0" borderId="1" xfId="0" applyFont="1" applyBorder="1" applyAlignment="1">
      <alignment horizontal="left" vertical="center" wrapText="1" indent="1"/>
    </xf>
    <xf numFmtId="0" fontId="1837" fillId="0" borderId="1" xfId="0" applyFont="1" applyBorder="1" applyAlignment="1">
      <alignment horizontal="left" vertical="center" wrapText="1" indent="1"/>
    </xf>
    <xf numFmtId="0" fontId="1838" fillId="0" borderId="1" xfId="0" applyFont="1" applyBorder="1" applyAlignment="1">
      <alignment horizontal="left" vertical="center" wrapText="1" indent="1"/>
    </xf>
    <xf numFmtId="0" fontId="1839" fillId="0" borderId="1" xfId="0" applyFont="1" applyBorder="1" applyAlignment="1">
      <alignment horizontal="left" vertical="center" wrapText="1" indent="1"/>
    </xf>
    <xf numFmtId="0" fontId="1840" fillId="0" borderId="1" xfId="0" applyFont="1" applyBorder="1" applyAlignment="1">
      <alignment horizontal="left" vertical="center" wrapText="1" indent="1"/>
    </xf>
    <xf numFmtId="0" fontId="1841" fillId="0" borderId="1" xfId="0" applyFont="1" applyBorder="1" applyAlignment="1">
      <alignment horizontal="left" vertical="center" wrapText="1" indent="1"/>
    </xf>
    <xf numFmtId="0" fontId="1842" fillId="0" borderId="1" xfId="0" applyFont="1" applyBorder="1" applyAlignment="1">
      <alignment horizontal="left" vertical="center" wrapText="1" indent="1"/>
    </xf>
    <xf numFmtId="0" fontId="1843" fillId="0" borderId="1" xfId="0" applyFont="1" applyBorder="1" applyAlignment="1">
      <alignment horizontal="left" vertical="center" wrapText="1" indent="1"/>
    </xf>
    <xf numFmtId="0" fontId="1844" fillId="0" borderId="1" xfId="0" applyFont="1" applyBorder="1" applyAlignment="1">
      <alignment horizontal="left" vertical="center" wrapText="1" indent="1"/>
    </xf>
    <xf numFmtId="0" fontId="1845" fillId="0" borderId="1" xfId="0" applyFont="1" applyBorder="1" applyAlignment="1">
      <alignment horizontal="left" vertical="center" wrapText="1" indent="1"/>
    </xf>
    <xf numFmtId="0" fontId="1846" fillId="0" borderId="1" xfId="0" applyFont="1" applyBorder="1" applyAlignment="1">
      <alignment horizontal="left" vertical="center" wrapText="1" indent="1"/>
    </xf>
    <xf numFmtId="0" fontId="1847" fillId="0" borderId="1" xfId="0" applyFont="1" applyBorder="1" applyAlignment="1">
      <alignment horizontal="left" vertical="center" wrapText="1" indent="1"/>
    </xf>
    <xf numFmtId="0" fontId="1848" fillId="0" borderId="1" xfId="0" applyFont="1" applyBorder="1" applyAlignment="1">
      <alignment horizontal="left" vertical="center" wrapText="1" indent="1"/>
    </xf>
    <xf numFmtId="0" fontId="1849" fillId="0" borderId="1" xfId="0" applyFont="1" applyBorder="1" applyAlignment="1">
      <alignment horizontal="left" vertical="center" wrapText="1" indent="1"/>
    </xf>
    <xf numFmtId="0" fontId="1850" fillId="0" borderId="1" xfId="0" applyFont="1" applyBorder="1" applyAlignment="1">
      <alignment horizontal="left" vertical="center" wrapText="1" indent="1"/>
    </xf>
    <xf numFmtId="0" fontId="1851" fillId="0" borderId="1" xfId="0" applyFont="1" applyBorder="1" applyAlignment="1">
      <alignment horizontal="left" vertical="center" wrapText="1" indent="1"/>
    </xf>
    <xf numFmtId="0" fontId="1852" fillId="0" borderId="1" xfId="0" applyFont="1" applyBorder="1" applyAlignment="1">
      <alignment horizontal="left" vertical="center" wrapText="1" indent="1"/>
    </xf>
    <xf numFmtId="0" fontId="1853" fillId="0" borderId="1" xfId="0" applyFont="1" applyBorder="1" applyAlignment="1">
      <alignment horizontal="left" vertical="center" wrapText="1" indent="1"/>
    </xf>
    <xf numFmtId="0" fontId="1854" fillId="0" borderId="1" xfId="0" applyFont="1" applyBorder="1" applyAlignment="1">
      <alignment horizontal="left" vertical="center" wrapText="1" indent="1"/>
    </xf>
    <xf numFmtId="0" fontId="1855" fillId="0" borderId="1" xfId="0" applyFont="1" applyBorder="1" applyAlignment="1">
      <alignment horizontal="left" vertical="center" wrapText="1" indent="1"/>
    </xf>
    <xf numFmtId="0" fontId="1856" fillId="0" borderId="1" xfId="0" applyFont="1" applyBorder="1" applyAlignment="1">
      <alignment horizontal="left" vertical="center" wrapText="1" indent="1"/>
    </xf>
    <xf numFmtId="0" fontId="1857" fillId="0" borderId="1" xfId="0" applyFont="1" applyBorder="1" applyAlignment="1">
      <alignment horizontal="left" vertical="center" wrapText="1" indent="1"/>
    </xf>
    <xf numFmtId="0" fontId="1858" fillId="0" borderId="1" xfId="0" applyFont="1" applyBorder="1" applyAlignment="1">
      <alignment horizontal="left" vertical="center" wrapText="1" indent="1"/>
    </xf>
    <xf numFmtId="0" fontId="1859" fillId="0" borderId="1" xfId="0" applyFont="1" applyBorder="1" applyAlignment="1">
      <alignment horizontal="left" vertical="center" wrapText="1" indent="1"/>
    </xf>
    <xf numFmtId="0" fontId="1860" fillId="0" borderId="1" xfId="0" applyFont="1" applyBorder="1" applyAlignment="1">
      <alignment horizontal="left" vertical="center" wrapText="1" indent="1"/>
    </xf>
    <xf numFmtId="0" fontId="1861" fillId="0" borderId="1" xfId="0" applyFont="1" applyBorder="1" applyAlignment="1">
      <alignment horizontal="left" vertical="center" wrapText="1" indent="1"/>
    </xf>
    <xf numFmtId="0" fontId="1862" fillId="0" borderId="1" xfId="0" applyFont="1" applyBorder="1" applyAlignment="1">
      <alignment horizontal="left" vertical="center" wrapText="1" indent="1"/>
    </xf>
    <xf numFmtId="0" fontId="1863" fillId="0" borderId="1" xfId="0" applyFont="1" applyBorder="1" applyAlignment="1">
      <alignment horizontal="left" vertical="center" wrapText="1" indent="1"/>
    </xf>
    <xf numFmtId="0" fontId="1864" fillId="0" borderId="1" xfId="0" applyFont="1" applyBorder="1" applyAlignment="1">
      <alignment horizontal="left" vertical="center" wrapText="1" indent="1"/>
    </xf>
    <xf numFmtId="0" fontId="1865" fillId="0" borderId="1" xfId="0" applyFont="1" applyBorder="1" applyAlignment="1">
      <alignment horizontal="left" vertical="center" wrapText="1" indent="1"/>
    </xf>
    <xf numFmtId="0" fontId="1866" fillId="0" borderId="1" xfId="0" applyFont="1" applyBorder="1" applyAlignment="1">
      <alignment horizontal="left" vertical="center" wrapText="1" indent="1"/>
    </xf>
    <xf numFmtId="0" fontId="1867" fillId="0" borderId="1" xfId="0" applyFont="1" applyBorder="1" applyAlignment="1">
      <alignment horizontal="left" vertical="center" wrapText="1" indent="1"/>
    </xf>
    <xf numFmtId="0" fontId="1868" fillId="0" borderId="1" xfId="0" applyFont="1" applyBorder="1" applyAlignment="1">
      <alignment horizontal="left" vertical="center" wrapText="1" indent="1"/>
    </xf>
    <xf numFmtId="0" fontId="1869" fillId="0" borderId="1" xfId="0" applyFont="1" applyBorder="1" applyAlignment="1">
      <alignment horizontal="left" vertical="center" wrapText="1" indent="1"/>
    </xf>
    <xf numFmtId="0" fontId="1870" fillId="0" borderId="1" xfId="0" applyFont="1" applyBorder="1" applyAlignment="1">
      <alignment horizontal="left" vertical="center" wrapText="1" indent="1"/>
    </xf>
    <xf numFmtId="0" fontId="1871" fillId="0" borderId="1" xfId="0" applyFont="1" applyBorder="1" applyAlignment="1">
      <alignment horizontal="left" vertical="center" wrapText="1" indent="1"/>
    </xf>
    <xf numFmtId="0" fontId="1872" fillId="0" borderId="1" xfId="0" applyFont="1" applyBorder="1" applyAlignment="1">
      <alignment horizontal="left" vertical="center" wrapText="1" indent="1"/>
    </xf>
    <xf numFmtId="0" fontId="1873" fillId="0" borderId="1" xfId="0" applyFont="1" applyBorder="1" applyAlignment="1">
      <alignment horizontal="left" vertical="center" wrapText="1" indent="1"/>
    </xf>
    <xf numFmtId="0" fontId="1874" fillId="0" borderId="1" xfId="0" applyFont="1" applyBorder="1" applyAlignment="1">
      <alignment horizontal="left" vertical="center" wrapText="1" indent="1"/>
    </xf>
    <xf numFmtId="0" fontId="1875" fillId="0" borderId="1" xfId="0" applyFont="1" applyBorder="1" applyAlignment="1">
      <alignment horizontal="left" vertical="center" wrapText="1" indent="1"/>
    </xf>
    <xf numFmtId="0" fontId="1876" fillId="0" borderId="1" xfId="0" applyFont="1" applyBorder="1" applyAlignment="1">
      <alignment horizontal="left" vertical="center" wrapText="1" indent="1"/>
    </xf>
    <xf numFmtId="0" fontId="1877" fillId="0" borderId="1" xfId="0" applyFont="1" applyBorder="1" applyAlignment="1">
      <alignment horizontal="left" vertical="center" wrapText="1" indent="1"/>
    </xf>
    <xf numFmtId="0" fontId="1878" fillId="0" borderId="1" xfId="0" applyFont="1" applyBorder="1" applyAlignment="1">
      <alignment horizontal="left" vertical="center" wrapText="1" indent="1"/>
    </xf>
    <xf numFmtId="0" fontId="1879" fillId="0" borderId="1" xfId="0" applyFont="1" applyBorder="1" applyAlignment="1">
      <alignment horizontal="left" vertical="center" wrapText="1" indent="1"/>
    </xf>
    <xf numFmtId="0" fontId="1880" fillId="0" borderId="1" xfId="0" applyFont="1" applyBorder="1" applyAlignment="1">
      <alignment horizontal="left" vertical="center" wrapText="1" indent="1"/>
    </xf>
    <xf numFmtId="0" fontId="1881" fillId="0" borderId="1" xfId="0" applyFont="1" applyBorder="1" applyAlignment="1">
      <alignment horizontal="left" vertical="center" wrapText="1" indent="1"/>
    </xf>
    <xf numFmtId="0" fontId="1882" fillId="0" borderId="1" xfId="0" applyFont="1" applyBorder="1" applyAlignment="1">
      <alignment horizontal="left" vertical="center" wrapText="1" indent="1"/>
    </xf>
    <xf numFmtId="0" fontId="1883" fillId="0" borderId="1" xfId="0" applyFont="1" applyBorder="1" applyAlignment="1">
      <alignment horizontal="left" vertical="center" wrapText="1" indent="1"/>
    </xf>
    <xf numFmtId="0" fontId="1884" fillId="0" borderId="1" xfId="0" applyFont="1" applyBorder="1" applyAlignment="1">
      <alignment horizontal="left" vertical="center" wrapText="1" indent="1"/>
    </xf>
    <xf numFmtId="0" fontId="1885" fillId="0" borderId="1" xfId="0" applyFont="1" applyBorder="1" applyAlignment="1">
      <alignment horizontal="left" vertical="center" wrapText="1" indent="1"/>
    </xf>
    <xf numFmtId="0" fontId="1886" fillId="0" borderId="1" xfId="0" applyFont="1" applyBorder="1" applyAlignment="1">
      <alignment horizontal="left" vertical="center" wrapText="1" indent="1"/>
    </xf>
    <xf numFmtId="0" fontId="1887" fillId="0" borderId="1" xfId="0" applyFont="1" applyBorder="1" applyAlignment="1">
      <alignment horizontal="left" vertical="center" wrapText="1" indent="1"/>
    </xf>
    <xf numFmtId="0" fontId="1888" fillId="0" borderId="1" xfId="0" applyFont="1" applyBorder="1" applyAlignment="1">
      <alignment horizontal="left" vertical="center" wrapText="1" indent="1"/>
    </xf>
    <xf numFmtId="0" fontId="1889" fillId="0" borderId="1" xfId="0" applyFont="1" applyBorder="1" applyAlignment="1">
      <alignment horizontal="left" vertical="center" wrapText="1" indent="1"/>
    </xf>
    <xf numFmtId="0" fontId="1890" fillId="0" borderId="1" xfId="0" applyFont="1" applyBorder="1" applyAlignment="1">
      <alignment horizontal="left" vertical="center" wrapText="1" indent="1"/>
    </xf>
    <xf numFmtId="0" fontId="1891" fillId="0" borderId="1" xfId="0" applyFont="1" applyBorder="1" applyAlignment="1">
      <alignment horizontal="left" vertical="center" wrapText="1" indent="1"/>
    </xf>
    <xf numFmtId="0" fontId="1892" fillId="0" borderId="1" xfId="0" applyFont="1" applyBorder="1" applyAlignment="1">
      <alignment horizontal="left" vertical="center" wrapText="1" indent="1"/>
    </xf>
    <xf numFmtId="0" fontId="1893" fillId="0" borderId="1" xfId="0" applyFont="1" applyBorder="1" applyAlignment="1">
      <alignment horizontal="left" vertical="center" wrapText="1" indent="1"/>
    </xf>
    <xf numFmtId="0" fontId="1894" fillId="0" borderId="1" xfId="0" applyFont="1" applyBorder="1" applyAlignment="1">
      <alignment horizontal="left" vertical="center" wrapText="1" indent="1"/>
    </xf>
    <xf numFmtId="0" fontId="1895" fillId="0" borderId="1" xfId="0" applyFont="1" applyBorder="1" applyAlignment="1">
      <alignment horizontal="left" vertical="center" wrapText="1" indent="1"/>
    </xf>
    <xf numFmtId="0" fontId="1896" fillId="0" borderId="1" xfId="0" applyFont="1" applyBorder="1" applyAlignment="1">
      <alignment horizontal="left" vertical="center" wrapText="1" indent="1"/>
    </xf>
    <xf numFmtId="0" fontId="1897" fillId="0" borderId="1" xfId="0" applyFont="1" applyBorder="1" applyAlignment="1">
      <alignment horizontal="left" vertical="center" wrapText="1" indent="1"/>
    </xf>
    <xf numFmtId="0" fontId="1898" fillId="0" borderId="1" xfId="0" applyFont="1" applyBorder="1" applyAlignment="1">
      <alignment horizontal="left" vertical="center" wrapText="1" indent="1"/>
    </xf>
    <xf numFmtId="0" fontId="1899" fillId="0" borderId="1" xfId="0" applyFont="1" applyBorder="1" applyAlignment="1">
      <alignment horizontal="left" vertical="center" wrapText="1" indent="1"/>
    </xf>
    <xf numFmtId="0" fontId="1900" fillId="0" borderId="1" xfId="0" applyFont="1" applyBorder="1" applyAlignment="1">
      <alignment horizontal="left" vertical="center" wrapText="1" indent="1"/>
    </xf>
    <xf numFmtId="0" fontId="1901" fillId="0" borderId="1" xfId="0" applyFont="1" applyBorder="1" applyAlignment="1">
      <alignment horizontal="left" vertical="center" wrapText="1" indent="1"/>
    </xf>
    <xf numFmtId="0" fontId="1902" fillId="0" borderId="1" xfId="0" applyFont="1" applyBorder="1" applyAlignment="1">
      <alignment horizontal="left" vertical="center" wrapText="1" indent="1"/>
    </xf>
    <xf numFmtId="0" fontId="1903" fillId="0" borderId="1" xfId="0" applyFont="1" applyBorder="1" applyAlignment="1">
      <alignment horizontal="left" vertical="center" wrapText="1" indent="1"/>
    </xf>
    <xf numFmtId="0" fontId="1904" fillId="0" borderId="1" xfId="0" applyFont="1" applyBorder="1" applyAlignment="1">
      <alignment horizontal="left" vertical="center" wrapText="1" indent="1"/>
    </xf>
    <xf numFmtId="0" fontId="1905" fillId="0" borderId="1" xfId="0" applyFont="1" applyBorder="1" applyAlignment="1">
      <alignment horizontal="left" vertical="center" wrapText="1" indent="1"/>
    </xf>
    <xf numFmtId="0" fontId="1906" fillId="0" borderId="1" xfId="0" applyFont="1" applyBorder="1" applyAlignment="1">
      <alignment horizontal="left" vertical="center" wrapText="1" indent="1"/>
    </xf>
    <xf numFmtId="0" fontId="1907" fillId="0" borderId="1" xfId="0" applyFont="1" applyBorder="1" applyAlignment="1">
      <alignment horizontal="left" vertical="center" wrapText="1" indent="1"/>
    </xf>
    <xf numFmtId="0" fontId="1908" fillId="0" borderId="1" xfId="0" applyFont="1" applyBorder="1" applyAlignment="1">
      <alignment horizontal="left" vertical="center" wrapText="1" indent="1"/>
    </xf>
    <xf numFmtId="0" fontId="1909" fillId="0" borderId="1" xfId="0" applyFont="1" applyBorder="1" applyAlignment="1">
      <alignment horizontal="left" vertical="center" wrapText="1" indent="1"/>
    </xf>
    <xf numFmtId="0" fontId="1910" fillId="0" borderId="1" xfId="0" applyFont="1" applyBorder="1" applyAlignment="1">
      <alignment horizontal="left" vertical="center" wrapText="1" indent="1"/>
    </xf>
    <xf numFmtId="0" fontId="1911" fillId="0" borderId="1" xfId="0" applyFont="1" applyBorder="1" applyAlignment="1">
      <alignment horizontal="left" vertical="center" wrapText="1" indent="1"/>
    </xf>
    <xf numFmtId="0" fontId="1912" fillId="0" borderId="1" xfId="0" applyFont="1" applyBorder="1" applyAlignment="1">
      <alignment horizontal="left" vertical="center" wrapText="1" indent="1"/>
    </xf>
    <xf numFmtId="0" fontId="1913" fillId="0" borderId="1" xfId="0" applyFont="1" applyBorder="1" applyAlignment="1">
      <alignment horizontal="left" vertical="center" wrapText="1" indent="1"/>
    </xf>
    <xf numFmtId="0" fontId="1914" fillId="0" borderId="1" xfId="0" applyFont="1" applyBorder="1" applyAlignment="1">
      <alignment horizontal="left" vertical="center" wrapText="1" indent="1"/>
    </xf>
    <xf numFmtId="0" fontId="1915" fillId="0" borderId="1" xfId="0" applyFont="1" applyBorder="1" applyAlignment="1">
      <alignment horizontal="left" vertical="center" wrapText="1" indent="1"/>
    </xf>
    <xf numFmtId="0" fontId="1916" fillId="0" borderId="1" xfId="0" applyFont="1" applyBorder="1" applyAlignment="1">
      <alignment horizontal="left" vertical="center" wrapText="1" indent="1"/>
    </xf>
    <xf numFmtId="0" fontId="1917" fillId="0" borderId="1" xfId="0" applyFont="1" applyBorder="1" applyAlignment="1">
      <alignment horizontal="left" vertical="center" wrapText="1" indent="1"/>
    </xf>
    <xf numFmtId="0" fontId="1918" fillId="0" borderId="1" xfId="0" applyFont="1" applyBorder="1" applyAlignment="1">
      <alignment horizontal="left" vertical="center" wrapText="1" indent="1"/>
    </xf>
    <xf numFmtId="0" fontId="1919" fillId="0" borderId="1" xfId="0" applyFont="1" applyBorder="1" applyAlignment="1">
      <alignment horizontal="left" vertical="center" wrapText="1" indent="1"/>
    </xf>
    <xf numFmtId="0" fontId="1920" fillId="0" borderId="1" xfId="0" applyFont="1" applyBorder="1" applyAlignment="1">
      <alignment horizontal="left" vertical="center" wrapText="1" indent="1"/>
    </xf>
    <xf numFmtId="0" fontId="1921" fillId="0" borderId="1" xfId="0" applyFont="1" applyBorder="1" applyAlignment="1">
      <alignment horizontal="left" vertical="center" wrapText="1" indent="1"/>
    </xf>
    <xf numFmtId="0" fontId="1922" fillId="0" borderId="1" xfId="0" applyFont="1" applyBorder="1" applyAlignment="1">
      <alignment horizontal="left" vertical="center" wrapText="1" indent="1"/>
    </xf>
    <xf numFmtId="0" fontId="1923" fillId="0" borderId="1" xfId="0" applyFont="1" applyBorder="1" applyAlignment="1">
      <alignment horizontal="left" vertical="center" wrapText="1" indent="1"/>
    </xf>
    <xf numFmtId="0" fontId="1924" fillId="0" borderId="1" xfId="0" applyFont="1" applyBorder="1" applyAlignment="1">
      <alignment horizontal="left" vertical="center" wrapText="1" indent="1"/>
    </xf>
    <xf numFmtId="0" fontId="1925" fillId="0" borderId="1" xfId="0" applyFont="1" applyBorder="1" applyAlignment="1">
      <alignment horizontal="left" vertical="center" wrapText="1" indent="1"/>
    </xf>
    <xf numFmtId="0" fontId="1926" fillId="0" borderId="1" xfId="0" applyFont="1" applyBorder="1" applyAlignment="1">
      <alignment horizontal="left" vertical="center" wrapText="1" indent="1"/>
    </xf>
    <xf numFmtId="0" fontId="1927" fillId="0" borderId="1" xfId="0" applyFont="1" applyBorder="1" applyAlignment="1">
      <alignment horizontal="left" vertical="center" wrapText="1" indent="1"/>
    </xf>
    <xf numFmtId="0" fontId="1928" fillId="0" borderId="1" xfId="0" applyFont="1" applyBorder="1" applyAlignment="1">
      <alignment horizontal="left" vertical="center" wrapText="1" indent="1"/>
    </xf>
    <xf numFmtId="0" fontId="1929" fillId="0" borderId="1" xfId="0" applyFont="1" applyBorder="1" applyAlignment="1">
      <alignment horizontal="left" vertical="center" wrapText="1" indent="1"/>
    </xf>
    <xf numFmtId="0" fontId="1930" fillId="0" borderId="1" xfId="0" applyFont="1" applyBorder="1" applyAlignment="1">
      <alignment horizontal="left" vertical="center" wrapText="1" indent="1"/>
    </xf>
    <xf numFmtId="0" fontId="1931" fillId="0" borderId="1" xfId="0" applyFont="1" applyBorder="1" applyAlignment="1">
      <alignment horizontal="left" vertical="center" wrapText="1" indent="1"/>
    </xf>
    <xf numFmtId="0" fontId="1932" fillId="0" borderId="1" xfId="0" applyFont="1" applyBorder="1" applyAlignment="1">
      <alignment horizontal="left" vertical="center" wrapText="1" indent="1"/>
    </xf>
    <xf numFmtId="0" fontId="1933" fillId="0" borderId="1" xfId="0" applyFont="1" applyBorder="1" applyAlignment="1">
      <alignment horizontal="left" vertical="center" wrapText="1" indent="1"/>
    </xf>
    <xf numFmtId="0" fontId="1934" fillId="0" borderId="1" xfId="0" applyFont="1" applyBorder="1" applyAlignment="1">
      <alignment horizontal="left" vertical="center" wrapText="1" indent="1"/>
    </xf>
    <xf numFmtId="0" fontId="1935" fillId="0" borderId="1" xfId="0" applyFont="1" applyBorder="1" applyAlignment="1">
      <alignment horizontal="left" vertical="center" wrapText="1" indent="1"/>
    </xf>
    <xf numFmtId="0" fontId="1936" fillId="0" borderId="1" xfId="0" applyFont="1" applyBorder="1" applyAlignment="1">
      <alignment horizontal="left" vertical="center" wrapText="1" indent="1"/>
    </xf>
    <xf numFmtId="0" fontId="1937" fillId="0" borderId="1" xfId="0" applyFont="1" applyBorder="1" applyAlignment="1">
      <alignment horizontal="left" vertical="center" wrapText="1" indent="1"/>
    </xf>
    <xf numFmtId="0" fontId="1938" fillId="0" borderId="1" xfId="0" applyFont="1" applyBorder="1" applyAlignment="1">
      <alignment horizontal="left" vertical="center" wrapText="1" indent="1"/>
    </xf>
    <xf numFmtId="0" fontId="1939" fillId="0" borderId="1" xfId="0" applyFont="1" applyBorder="1" applyAlignment="1">
      <alignment horizontal="left" vertical="center" wrapText="1" indent="1"/>
    </xf>
    <xf numFmtId="0" fontId="1940" fillId="0" borderId="1" xfId="0" applyFont="1" applyBorder="1" applyAlignment="1">
      <alignment horizontal="left" vertical="center" wrapText="1" indent="1"/>
    </xf>
    <xf numFmtId="0" fontId="1941" fillId="0" borderId="1" xfId="0" applyFont="1" applyBorder="1" applyAlignment="1">
      <alignment horizontal="left" vertical="center" wrapText="1" indent="1"/>
    </xf>
    <xf numFmtId="0" fontId="1942" fillId="0" borderId="1" xfId="0" applyFont="1" applyBorder="1" applyAlignment="1">
      <alignment horizontal="left" vertical="center" wrapText="1" indent="1"/>
    </xf>
    <xf numFmtId="0" fontId="1943" fillId="0" borderId="1" xfId="0" applyFont="1" applyBorder="1" applyAlignment="1">
      <alignment horizontal="left" vertical="center" wrapText="1" indent="1"/>
    </xf>
    <xf numFmtId="0" fontId="1944" fillId="0" borderId="1" xfId="0" applyFont="1" applyBorder="1" applyAlignment="1">
      <alignment horizontal="left" vertical="center" wrapText="1" indent="1"/>
    </xf>
    <xf numFmtId="0" fontId="1945" fillId="0" borderId="1" xfId="0" applyFont="1" applyBorder="1" applyAlignment="1">
      <alignment horizontal="left" vertical="center" wrapText="1" indent="1"/>
    </xf>
    <xf numFmtId="0" fontId="1946" fillId="0" borderId="1" xfId="0" applyFont="1" applyBorder="1" applyAlignment="1">
      <alignment horizontal="left" vertical="center" wrapText="1" indent="1"/>
    </xf>
    <xf numFmtId="0" fontId="1947" fillId="0" borderId="1" xfId="0" applyFont="1" applyBorder="1" applyAlignment="1">
      <alignment horizontal="left" vertical="center" wrapText="1" indent="1"/>
    </xf>
    <xf numFmtId="0" fontId="1948" fillId="0" borderId="1" xfId="0" applyFont="1" applyBorder="1" applyAlignment="1">
      <alignment horizontal="left" vertical="center" wrapText="1" indent="1"/>
    </xf>
    <xf numFmtId="0" fontId="1949" fillId="0" borderId="1" xfId="0" applyFont="1" applyBorder="1" applyAlignment="1">
      <alignment horizontal="left" vertical="center" wrapText="1" indent="1"/>
    </xf>
    <xf numFmtId="0" fontId="1950" fillId="0" borderId="1" xfId="0" applyFont="1" applyBorder="1" applyAlignment="1">
      <alignment horizontal="left" vertical="center" wrapText="1" indent="1"/>
    </xf>
    <xf numFmtId="0" fontId="1951" fillId="0" borderId="1" xfId="0" applyFont="1" applyBorder="1" applyAlignment="1">
      <alignment horizontal="left" vertical="center" wrapText="1" indent="1"/>
    </xf>
    <xf numFmtId="0" fontId="1952" fillId="0" borderId="1" xfId="0" applyFont="1" applyBorder="1" applyAlignment="1">
      <alignment horizontal="left" vertical="center" wrapText="1" indent="1"/>
    </xf>
    <xf numFmtId="0" fontId="1953" fillId="0" borderId="1" xfId="0" applyFont="1" applyBorder="1" applyAlignment="1">
      <alignment horizontal="left" vertical="center" wrapText="1" indent="1"/>
    </xf>
    <xf numFmtId="0" fontId="1954" fillId="0" borderId="1" xfId="0" applyFont="1" applyBorder="1" applyAlignment="1">
      <alignment horizontal="left" vertical="center" wrapText="1" indent="1"/>
    </xf>
    <xf numFmtId="0" fontId="1955" fillId="0" borderId="1" xfId="0" applyFont="1" applyBorder="1" applyAlignment="1">
      <alignment horizontal="left" vertical="center" wrapText="1" indent="1"/>
    </xf>
    <xf numFmtId="0" fontId="1956" fillId="0" borderId="1" xfId="0" applyFont="1" applyBorder="1" applyAlignment="1">
      <alignment horizontal="left" vertical="center" wrapText="1" indent="1"/>
    </xf>
    <xf numFmtId="0" fontId="1957" fillId="0" borderId="1" xfId="0" applyFont="1" applyBorder="1" applyAlignment="1">
      <alignment horizontal="left" vertical="center" wrapText="1" indent="1"/>
    </xf>
    <xf numFmtId="0" fontId="1958" fillId="0" borderId="1" xfId="0" applyFont="1" applyBorder="1" applyAlignment="1">
      <alignment horizontal="left" vertical="center" wrapText="1" indent="1"/>
    </xf>
    <xf numFmtId="0" fontId="1959" fillId="0" borderId="1" xfId="0" applyFont="1" applyBorder="1" applyAlignment="1">
      <alignment horizontal="left" vertical="center" wrapText="1" indent="1"/>
    </xf>
    <xf numFmtId="0" fontId="1960" fillId="0" borderId="1" xfId="0" applyFont="1" applyBorder="1" applyAlignment="1">
      <alignment horizontal="left" vertical="center" wrapText="1" indent="1"/>
    </xf>
    <xf numFmtId="0" fontId="1961" fillId="0" borderId="1" xfId="0" applyFont="1" applyBorder="1" applyAlignment="1">
      <alignment horizontal="left" vertical="center" wrapText="1" indent="1"/>
    </xf>
    <xf numFmtId="0" fontId="1962" fillId="0" borderId="1" xfId="0" applyFont="1" applyBorder="1" applyAlignment="1">
      <alignment horizontal="left" vertical="center" wrapText="1" indent="1"/>
    </xf>
    <xf numFmtId="0" fontId="1963" fillId="0" borderId="1" xfId="0" applyFont="1" applyBorder="1" applyAlignment="1">
      <alignment horizontal="left" vertical="center" wrapText="1" indent="1"/>
    </xf>
    <xf numFmtId="0" fontId="1964" fillId="0" borderId="1" xfId="0" applyFont="1" applyBorder="1" applyAlignment="1">
      <alignment horizontal="left" vertical="center" wrapText="1" indent="1"/>
    </xf>
    <xf numFmtId="0" fontId="1965" fillId="0" borderId="1" xfId="0" applyFont="1" applyBorder="1" applyAlignment="1">
      <alignment horizontal="left" vertical="center" wrapText="1" indent="1"/>
    </xf>
    <xf numFmtId="0" fontId="1966" fillId="0" borderId="1" xfId="0" applyFont="1" applyBorder="1" applyAlignment="1">
      <alignment horizontal="left" vertical="center" wrapText="1" indent="1"/>
    </xf>
    <xf numFmtId="0" fontId="1967" fillId="0" borderId="1" xfId="0" applyFont="1" applyBorder="1" applyAlignment="1">
      <alignment horizontal="left" vertical="center" wrapText="1" indent="1"/>
    </xf>
    <xf numFmtId="0" fontId="1968" fillId="0" borderId="1" xfId="0" applyFont="1" applyBorder="1" applyAlignment="1">
      <alignment horizontal="left" vertical="center" wrapText="1" indent="1"/>
    </xf>
    <xf numFmtId="0" fontId="1969" fillId="0" borderId="1" xfId="0" applyFont="1" applyBorder="1" applyAlignment="1">
      <alignment horizontal="left" vertical="center" wrapText="1" indent="1"/>
    </xf>
    <xf numFmtId="0" fontId="1970" fillId="0" borderId="1" xfId="0" applyFont="1" applyBorder="1" applyAlignment="1">
      <alignment horizontal="left" vertical="center" wrapText="1" indent="1"/>
    </xf>
    <xf numFmtId="0" fontId="1971" fillId="0" borderId="1" xfId="0" applyFont="1" applyBorder="1" applyAlignment="1">
      <alignment horizontal="left" vertical="center" wrapText="1" indent="1"/>
    </xf>
    <xf numFmtId="0" fontId="1972" fillId="0" borderId="1" xfId="0" applyFont="1" applyBorder="1" applyAlignment="1">
      <alignment horizontal="left" vertical="center" wrapText="1" indent="1"/>
    </xf>
    <xf numFmtId="0" fontId="1973" fillId="0" borderId="1" xfId="0" applyFont="1" applyBorder="1" applyAlignment="1">
      <alignment horizontal="left" vertical="center" wrapText="1" indent="1"/>
    </xf>
    <xf numFmtId="0" fontId="1974" fillId="0" borderId="1" xfId="0" applyFont="1" applyBorder="1" applyAlignment="1">
      <alignment horizontal="left" vertical="center" wrapText="1" indent="1"/>
    </xf>
    <xf numFmtId="0" fontId="1975" fillId="0" borderId="1" xfId="0" applyFont="1" applyBorder="1" applyAlignment="1">
      <alignment horizontal="left" vertical="center" wrapText="1" indent="1"/>
    </xf>
    <xf numFmtId="0" fontId="1976" fillId="0" borderId="1" xfId="0" applyFont="1" applyBorder="1" applyAlignment="1">
      <alignment horizontal="left" vertical="center" wrapText="1" indent="1"/>
    </xf>
    <xf numFmtId="0" fontId="1977" fillId="0" borderId="1" xfId="0" applyFont="1" applyBorder="1" applyAlignment="1">
      <alignment horizontal="left" vertical="center" wrapText="1" indent="1"/>
    </xf>
    <xf numFmtId="0" fontId="1978" fillId="0" borderId="1" xfId="0" applyFont="1" applyBorder="1" applyAlignment="1">
      <alignment horizontal="left" vertical="center" wrapText="1" indent="1"/>
    </xf>
    <xf numFmtId="0" fontId="1979" fillId="0" borderId="1" xfId="0" applyFont="1" applyBorder="1" applyAlignment="1">
      <alignment horizontal="left" vertical="center" wrapText="1" indent="1"/>
    </xf>
    <xf numFmtId="0" fontId="1980" fillId="0" borderId="1" xfId="0" applyFont="1" applyBorder="1" applyAlignment="1">
      <alignment horizontal="left" vertical="center" wrapText="1" indent="1"/>
    </xf>
    <xf numFmtId="0" fontId="1981" fillId="0" borderId="1" xfId="0" applyFont="1" applyBorder="1" applyAlignment="1">
      <alignment horizontal="left" vertical="center" wrapText="1" indent="1"/>
    </xf>
    <xf numFmtId="0" fontId="1982" fillId="0" borderId="1" xfId="0" applyFont="1" applyBorder="1" applyAlignment="1">
      <alignment horizontal="left" vertical="center" wrapText="1" indent="1"/>
    </xf>
    <xf numFmtId="0" fontId="1983" fillId="0" borderId="1" xfId="0" applyFont="1" applyBorder="1" applyAlignment="1">
      <alignment horizontal="left" vertical="center" wrapText="1" indent="1"/>
    </xf>
    <xf numFmtId="0" fontId="1984" fillId="0" borderId="1" xfId="0" applyFont="1" applyBorder="1" applyAlignment="1">
      <alignment horizontal="left" vertical="center" wrapText="1" indent="1"/>
    </xf>
    <xf numFmtId="0" fontId="1985" fillId="0" borderId="1" xfId="0" applyFont="1" applyBorder="1" applyAlignment="1">
      <alignment horizontal="left" vertical="center" wrapText="1" indent="1"/>
    </xf>
    <xf numFmtId="0" fontId="1986" fillId="0" borderId="1" xfId="0" applyFont="1" applyBorder="1" applyAlignment="1">
      <alignment horizontal="left" vertical="center" wrapText="1" indent="1"/>
    </xf>
    <xf numFmtId="0" fontId="1987" fillId="0" borderId="1" xfId="0" applyFont="1" applyBorder="1" applyAlignment="1">
      <alignment horizontal="left" vertical="center" wrapText="1" indent="1"/>
    </xf>
    <xf numFmtId="0" fontId="1988" fillId="0" borderId="1" xfId="0" applyFont="1" applyBorder="1" applyAlignment="1">
      <alignment horizontal="left" vertical="center" wrapText="1" indent="1"/>
    </xf>
    <xf numFmtId="0" fontId="1989" fillId="0" borderId="1" xfId="0" applyFont="1" applyBorder="1" applyAlignment="1">
      <alignment horizontal="left" vertical="center" wrapText="1" indent="1"/>
    </xf>
    <xf numFmtId="0" fontId="1990" fillId="0" borderId="1" xfId="0" applyFont="1" applyBorder="1" applyAlignment="1">
      <alignment horizontal="left" vertical="center" wrapText="1" indent="1"/>
    </xf>
    <xf numFmtId="0" fontId="1991" fillId="0" borderId="1" xfId="0" applyFont="1" applyBorder="1" applyAlignment="1">
      <alignment horizontal="left" vertical="center" wrapText="1" indent="1"/>
    </xf>
    <xf numFmtId="0" fontId="1992" fillId="0" borderId="1" xfId="0" applyFont="1" applyBorder="1" applyAlignment="1">
      <alignment horizontal="left" vertical="center" wrapText="1" indent="1"/>
    </xf>
    <xf numFmtId="0" fontId="1993" fillId="0" borderId="1" xfId="0" applyFont="1" applyBorder="1" applyAlignment="1">
      <alignment horizontal="left" vertical="center" wrapText="1" indent="1"/>
    </xf>
    <xf numFmtId="0" fontId="1994" fillId="0" borderId="1" xfId="0" applyFont="1" applyBorder="1" applyAlignment="1">
      <alignment horizontal="left" vertical="center" wrapText="1" indent="1"/>
    </xf>
    <xf numFmtId="0" fontId="1995" fillId="0" borderId="1" xfId="0" applyFont="1" applyBorder="1" applyAlignment="1">
      <alignment horizontal="left" vertical="center" wrapText="1" indent="1"/>
    </xf>
    <xf numFmtId="0" fontId="1996" fillId="0" borderId="1" xfId="0" applyFont="1" applyBorder="1" applyAlignment="1">
      <alignment horizontal="left" vertical="center" wrapText="1" indent="1"/>
    </xf>
    <xf numFmtId="0" fontId="1997" fillId="0" borderId="1" xfId="0" applyFont="1" applyBorder="1" applyAlignment="1">
      <alignment horizontal="left" vertical="center" wrapText="1" indent="1"/>
    </xf>
    <xf numFmtId="0" fontId="1998" fillId="0" borderId="1" xfId="0" applyFont="1" applyBorder="1" applyAlignment="1">
      <alignment horizontal="left" vertical="center" wrapText="1" indent="1"/>
    </xf>
    <xf numFmtId="0" fontId="1999" fillId="0" borderId="1" xfId="0" applyFont="1" applyBorder="1" applyAlignment="1">
      <alignment horizontal="left" vertical="center" wrapText="1" indent="1"/>
    </xf>
    <xf numFmtId="0" fontId="2000" fillId="0" borderId="1" xfId="0" applyFont="1" applyBorder="1" applyAlignment="1">
      <alignment horizontal="left" vertical="center" wrapText="1" indent="1"/>
    </xf>
    <xf numFmtId="0" fontId="2001" fillId="0" borderId="1" xfId="0" applyFont="1" applyBorder="1" applyAlignment="1">
      <alignment horizontal="left" vertical="center" wrapText="1" indent="1"/>
    </xf>
    <xf numFmtId="0" fontId="2002" fillId="0" borderId="1" xfId="0" applyFont="1" applyBorder="1" applyAlignment="1">
      <alignment horizontal="left" vertical="center" wrapText="1" indent="1"/>
    </xf>
    <xf numFmtId="0" fontId="2003" fillId="0" borderId="1" xfId="0" applyFont="1" applyBorder="1" applyAlignment="1">
      <alignment horizontal="left" vertical="center" wrapText="1" indent="1"/>
    </xf>
    <xf numFmtId="0" fontId="2004" fillId="0" borderId="1" xfId="0" applyFont="1" applyBorder="1" applyAlignment="1">
      <alignment horizontal="left" vertical="center" wrapText="1" indent="1"/>
    </xf>
    <xf numFmtId="0" fontId="2005" fillId="0" borderId="1" xfId="0" applyFont="1" applyBorder="1" applyAlignment="1">
      <alignment horizontal="left" vertical="center" wrapText="1" indent="1"/>
    </xf>
    <xf numFmtId="0" fontId="2006" fillId="0" borderId="1" xfId="0" applyFont="1" applyBorder="1" applyAlignment="1">
      <alignment horizontal="left" vertical="center" wrapText="1" indent="1"/>
    </xf>
    <xf numFmtId="0" fontId="2007" fillId="0" borderId="1" xfId="0" applyFont="1" applyBorder="1" applyAlignment="1">
      <alignment horizontal="left" vertical="center" wrapText="1" indent="1"/>
    </xf>
    <xf numFmtId="0" fontId="2008" fillId="0" borderId="1" xfId="0" applyFont="1" applyBorder="1" applyAlignment="1">
      <alignment horizontal="left" vertical="center" wrapText="1" indent="1"/>
    </xf>
    <xf numFmtId="0" fontId="2009" fillId="0" borderId="1" xfId="0" applyFont="1" applyBorder="1" applyAlignment="1">
      <alignment horizontal="left" vertical="center" wrapText="1" indent="1"/>
    </xf>
    <xf numFmtId="0" fontId="2010" fillId="0" borderId="1" xfId="0" applyFont="1" applyBorder="1" applyAlignment="1">
      <alignment horizontal="left" vertical="center" wrapText="1" indent="1"/>
    </xf>
    <xf numFmtId="0" fontId="2011" fillId="0" borderId="1" xfId="0" applyFont="1" applyBorder="1" applyAlignment="1">
      <alignment horizontal="left" vertical="center" wrapText="1" indent="1"/>
    </xf>
    <xf numFmtId="0" fontId="2012" fillId="0" borderId="1" xfId="0" applyFont="1" applyBorder="1" applyAlignment="1">
      <alignment horizontal="left" vertical="center" wrapText="1" indent="1"/>
    </xf>
    <xf numFmtId="0" fontId="2013" fillId="0" borderId="1" xfId="0" applyFont="1" applyBorder="1" applyAlignment="1">
      <alignment horizontal="left" vertical="center" wrapText="1" indent="1"/>
    </xf>
    <xf numFmtId="0" fontId="2014" fillId="0" borderId="1" xfId="0" applyFont="1" applyBorder="1" applyAlignment="1">
      <alignment horizontal="left" vertical="center" wrapText="1" indent="1"/>
    </xf>
    <xf numFmtId="0" fontId="2015" fillId="0" borderId="1" xfId="0" applyFont="1" applyBorder="1" applyAlignment="1">
      <alignment horizontal="left" vertical="center" wrapText="1" indent="1"/>
    </xf>
    <xf numFmtId="0" fontId="2016" fillId="0" borderId="1" xfId="0" applyFont="1" applyBorder="1" applyAlignment="1">
      <alignment horizontal="left" vertical="center" wrapText="1" indent="1"/>
    </xf>
    <xf numFmtId="0" fontId="2017" fillId="0" borderId="1" xfId="0" applyFont="1" applyBorder="1" applyAlignment="1">
      <alignment horizontal="left" vertical="center" wrapText="1" indent="1"/>
    </xf>
    <xf numFmtId="0" fontId="2018" fillId="0" borderId="1" xfId="0" applyFont="1" applyBorder="1" applyAlignment="1">
      <alignment horizontal="left" vertical="center" wrapText="1" indent="1"/>
    </xf>
    <xf numFmtId="0" fontId="2019" fillId="0" borderId="1" xfId="0" applyFont="1" applyBorder="1" applyAlignment="1">
      <alignment horizontal="left" vertical="center" wrapText="1" indent="1"/>
    </xf>
    <xf numFmtId="0" fontId="2020" fillId="0" borderId="1" xfId="0" applyFont="1" applyBorder="1" applyAlignment="1">
      <alignment horizontal="left" vertical="center" wrapText="1" indent="1"/>
    </xf>
    <xf numFmtId="0" fontId="2021" fillId="0" borderId="1" xfId="0" applyFont="1" applyBorder="1" applyAlignment="1">
      <alignment horizontal="left" vertical="center" wrapText="1" indent="1"/>
    </xf>
    <xf numFmtId="0" fontId="2022" fillId="0" borderId="1" xfId="0" applyFont="1" applyBorder="1" applyAlignment="1">
      <alignment horizontal="left" vertical="center" wrapText="1" indent="1"/>
    </xf>
    <xf numFmtId="0" fontId="2023" fillId="0" borderId="1" xfId="0" applyFont="1" applyBorder="1" applyAlignment="1">
      <alignment horizontal="left" vertical="center" wrapText="1" indent="1"/>
    </xf>
    <xf numFmtId="0" fontId="2024" fillId="0" borderId="1" xfId="0" applyFont="1" applyBorder="1" applyAlignment="1">
      <alignment horizontal="left" vertical="center" wrapText="1" indent="1"/>
    </xf>
    <xf numFmtId="0" fontId="2025" fillId="0" borderId="1" xfId="0" applyFont="1" applyBorder="1" applyAlignment="1">
      <alignment horizontal="left" vertical="center" wrapText="1" indent="1"/>
    </xf>
    <xf numFmtId="0" fontId="2026" fillId="0" borderId="1" xfId="0" applyFont="1" applyBorder="1" applyAlignment="1">
      <alignment horizontal="left" vertical="center" wrapText="1" indent="1"/>
    </xf>
    <xf numFmtId="0" fontId="2027" fillId="0" borderId="1" xfId="0" applyFont="1" applyBorder="1" applyAlignment="1">
      <alignment horizontal="left" vertical="center" wrapText="1" indent="1"/>
    </xf>
    <xf numFmtId="0" fontId="2028" fillId="0" borderId="1" xfId="0" applyFont="1" applyBorder="1" applyAlignment="1">
      <alignment horizontal="left" vertical="center" wrapText="1" indent="1"/>
    </xf>
    <xf numFmtId="0" fontId="2029" fillId="0" borderId="1" xfId="0" applyFont="1" applyBorder="1" applyAlignment="1">
      <alignment horizontal="left" vertical="center" wrapText="1" indent="1"/>
    </xf>
    <xf numFmtId="0" fontId="2030" fillId="0" borderId="1" xfId="0" applyFont="1" applyBorder="1" applyAlignment="1">
      <alignment horizontal="left" vertical="center" wrapText="1" indent="1"/>
    </xf>
    <xf numFmtId="0" fontId="2031" fillId="0" borderId="1" xfId="0" applyFont="1" applyBorder="1" applyAlignment="1">
      <alignment horizontal="left" vertical="center" wrapText="1" indent="1"/>
    </xf>
    <xf numFmtId="0" fontId="2032" fillId="0" borderId="1" xfId="0" applyFont="1" applyBorder="1" applyAlignment="1">
      <alignment horizontal="left" vertical="center" wrapText="1" indent="1"/>
    </xf>
    <xf numFmtId="0" fontId="2033" fillId="0" borderId="1" xfId="0" applyFont="1" applyBorder="1" applyAlignment="1">
      <alignment horizontal="left" vertical="center" wrapText="1" indent="1"/>
    </xf>
    <xf numFmtId="0" fontId="2034" fillId="0" borderId="1" xfId="0" applyFont="1" applyBorder="1" applyAlignment="1">
      <alignment horizontal="left" vertical="center" wrapText="1" indent="1"/>
    </xf>
    <xf numFmtId="0" fontId="2035" fillId="0" borderId="1" xfId="0" applyFont="1" applyBorder="1" applyAlignment="1">
      <alignment horizontal="left" vertical="center" wrapText="1" indent="1"/>
    </xf>
    <xf numFmtId="0" fontId="2036" fillId="0" borderId="1" xfId="0" applyFont="1" applyBorder="1" applyAlignment="1">
      <alignment horizontal="left" vertical="center" wrapText="1" indent="1"/>
    </xf>
    <xf numFmtId="0" fontId="2037" fillId="0" borderId="1" xfId="0" applyFont="1" applyBorder="1" applyAlignment="1">
      <alignment horizontal="left" vertical="center" wrapText="1" indent="1"/>
    </xf>
    <xf numFmtId="0" fontId="2038" fillId="0" borderId="1" xfId="0" applyFont="1" applyBorder="1" applyAlignment="1">
      <alignment horizontal="left" vertical="center" wrapText="1" indent="1"/>
    </xf>
    <xf numFmtId="0" fontId="2039" fillId="0" borderId="1" xfId="0" applyFont="1" applyBorder="1" applyAlignment="1">
      <alignment horizontal="left" vertical="center" wrapText="1" indent="1"/>
    </xf>
    <xf numFmtId="0" fontId="2040" fillId="0" borderId="1" xfId="0" applyFont="1" applyBorder="1" applyAlignment="1">
      <alignment horizontal="left" vertical="center" wrapText="1" indent="1"/>
    </xf>
    <xf numFmtId="0" fontId="2041" fillId="0" borderId="1" xfId="0" applyFont="1" applyBorder="1" applyAlignment="1">
      <alignment horizontal="left" vertical="center" wrapText="1" indent="1"/>
    </xf>
    <xf numFmtId="0" fontId="2042" fillId="0" borderId="1" xfId="0" applyFont="1" applyBorder="1" applyAlignment="1">
      <alignment horizontal="left" vertical="center" wrapText="1" indent="1"/>
    </xf>
    <xf numFmtId="0" fontId="2043" fillId="0" borderId="1" xfId="0" applyFont="1" applyBorder="1" applyAlignment="1">
      <alignment horizontal="left" vertical="center" wrapText="1" indent="1"/>
    </xf>
    <xf numFmtId="0" fontId="2044" fillId="0" borderId="1" xfId="0" applyFont="1" applyBorder="1" applyAlignment="1">
      <alignment horizontal="left" vertical="center" wrapText="1" indent="1"/>
    </xf>
    <xf numFmtId="0" fontId="2045" fillId="0" borderId="1" xfId="0" applyFont="1" applyBorder="1" applyAlignment="1">
      <alignment horizontal="left" vertical="center" wrapText="1" indent="1"/>
    </xf>
    <xf numFmtId="0" fontId="2046" fillId="0" borderId="1" xfId="0" applyFont="1" applyBorder="1" applyAlignment="1">
      <alignment horizontal="left" vertical="center" wrapText="1" indent="1"/>
    </xf>
    <xf numFmtId="0" fontId="2047" fillId="0" borderId="1" xfId="0" applyFont="1" applyBorder="1" applyAlignment="1">
      <alignment horizontal="left" vertical="center" wrapText="1" indent="1"/>
    </xf>
    <xf numFmtId="0" fontId="2048" fillId="0" borderId="1" xfId="0" applyFont="1" applyBorder="1" applyAlignment="1">
      <alignment horizontal="left" vertical="center" wrapText="1" indent="1"/>
    </xf>
    <xf numFmtId="0" fontId="2049" fillId="0" borderId="1" xfId="0" applyFont="1" applyBorder="1" applyAlignment="1">
      <alignment horizontal="left" vertical="center" wrapText="1" indent="1"/>
    </xf>
    <xf numFmtId="0" fontId="2050" fillId="0" borderId="1" xfId="0" applyFont="1" applyBorder="1" applyAlignment="1">
      <alignment horizontal="left" vertical="center" wrapText="1" indent="1"/>
    </xf>
    <xf numFmtId="0" fontId="2051" fillId="0" borderId="1" xfId="0" applyFont="1" applyBorder="1" applyAlignment="1">
      <alignment horizontal="left" vertical="center" wrapText="1" indent="1"/>
    </xf>
    <xf numFmtId="0" fontId="2052" fillId="0" borderId="1" xfId="0" applyFont="1" applyBorder="1" applyAlignment="1">
      <alignment horizontal="left" vertical="center" wrapText="1" indent="1"/>
    </xf>
    <xf numFmtId="0" fontId="2053" fillId="0" borderId="1" xfId="0" applyFont="1" applyBorder="1" applyAlignment="1">
      <alignment horizontal="left" vertical="center" wrapText="1" indent="1"/>
    </xf>
    <xf numFmtId="0" fontId="2054" fillId="0" borderId="1" xfId="0" applyFont="1" applyBorder="1" applyAlignment="1">
      <alignment horizontal="left" vertical="center" wrapText="1" indent="1"/>
    </xf>
    <xf numFmtId="0" fontId="2055" fillId="0" borderId="1" xfId="0" applyFont="1" applyBorder="1" applyAlignment="1">
      <alignment horizontal="left" vertical="center" wrapText="1" indent="1"/>
    </xf>
    <xf numFmtId="0" fontId="2056" fillId="0" borderId="1" xfId="0" applyFont="1" applyBorder="1" applyAlignment="1">
      <alignment horizontal="left" vertical="center" wrapText="1" indent="1"/>
    </xf>
    <xf numFmtId="0" fontId="2057" fillId="0" borderId="1" xfId="0" applyFont="1" applyBorder="1" applyAlignment="1">
      <alignment horizontal="left" vertical="center" wrapText="1" indent="1"/>
    </xf>
    <xf numFmtId="0" fontId="2058" fillId="0" borderId="1" xfId="0" applyFont="1" applyBorder="1" applyAlignment="1">
      <alignment horizontal="left" vertical="center" wrapText="1" indent="1"/>
    </xf>
    <xf numFmtId="0" fontId="2059" fillId="0" borderId="1" xfId="0" applyFont="1" applyBorder="1" applyAlignment="1">
      <alignment horizontal="left" vertical="center" wrapText="1" indent="1"/>
    </xf>
    <xf numFmtId="0" fontId="2060" fillId="0" borderId="1" xfId="0" applyFont="1" applyBorder="1" applyAlignment="1">
      <alignment horizontal="left" vertical="center" wrapText="1" indent="1"/>
    </xf>
    <xf numFmtId="0" fontId="2061" fillId="0" borderId="1" xfId="0" applyFont="1" applyBorder="1" applyAlignment="1">
      <alignment horizontal="left" vertical="center" wrapText="1" indent="1"/>
    </xf>
    <xf numFmtId="0" fontId="2062" fillId="0" borderId="1" xfId="0" applyFont="1" applyBorder="1" applyAlignment="1">
      <alignment horizontal="left" vertical="center" wrapText="1" indent="1"/>
    </xf>
    <xf numFmtId="0" fontId="2063" fillId="0" borderId="1" xfId="0" applyFont="1" applyBorder="1" applyAlignment="1">
      <alignment horizontal="left" vertical="center" wrapText="1" indent="1"/>
    </xf>
    <xf numFmtId="0" fontId="2064" fillId="0" borderId="1" xfId="0" applyFont="1" applyBorder="1" applyAlignment="1">
      <alignment horizontal="left" vertical="center" wrapText="1" indent="1"/>
    </xf>
    <xf numFmtId="0" fontId="2065" fillId="0" borderId="1" xfId="0" applyFont="1" applyBorder="1" applyAlignment="1">
      <alignment horizontal="left" vertical="center" wrapText="1" indent="1"/>
    </xf>
    <xf numFmtId="0" fontId="2066" fillId="0" borderId="1" xfId="0" applyFont="1" applyBorder="1" applyAlignment="1">
      <alignment horizontal="left" vertical="center" wrapText="1" indent="1"/>
    </xf>
    <xf numFmtId="0" fontId="2067" fillId="0" borderId="1" xfId="0" applyFont="1" applyBorder="1" applyAlignment="1">
      <alignment horizontal="left" vertical="center" wrapText="1" indent="1"/>
    </xf>
    <xf numFmtId="0" fontId="2068" fillId="0" borderId="1" xfId="0" applyFont="1" applyBorder="1" applyAlignment="1">
      <alignment horizontal="left" vertical="center" wrapText="1" indent="1"/>
    </xf>
    <xf numFmtId="0" fontId="2069" fillId="0" borderId="1" xfId="0" applyFont="1" applyBorder="1" applyAlignment="1">
      <alignment horizontal="left" vertical="center" wrapText="1" indent="1"/>
    </xf>
    <xf numFmtId="0" fontId="2070" fillId="0" borderId="1" xfId="0" applyFont="1" applyBorder="1" applyAlignment="1">
      <alignment horizontal="left" vertical="center" wrapText="1" indent="1"/>
    </xf>
    <xf numFmtId="0" fontId="2071" fillId="0" borderId="1" xfId="0" applyFont="1" applyBorder="1" applyAlignment="1">
      <alignment horizontal="left" vertical="center" wrapText="1" indent="1"/>
    </xf>
    <xf numFmtId="0" fontId="2072" fillId="0" borderId="1" xfId="0" applyFont="1" applyBorder="1" applyAlignment="1">
      <alignment horizontal="left" vertical="center" wrapText="1" indent="1"/>
    </xf>
    <xf numFmtId="0" fontId="2073" fillId="0" borderId="1" xfId="0" applyFont="1" applyBorder="1" applyAlignment="1">
      <alignment horizontal="left" vertical="center" wrapText="1" indent="1"/>
    </xf>
    <xf numFmtId="0" fontId="2074" fillId="0" borderId="1" xfId="0" applyFont="1" applyBorder="1" applyAlignment="1">
      <alignment horizontal="left" vertical="center" wrapText="1" indent="1"/>
    </xf>
    <xf numFmtId="0" fontId="2075" fillId="0" borderId="1" xfId="0" applyFont="1" applyBorder="1" applyAlignment="1">
      <alignment horizontal="left" vertical="center" wrapText="1" indent="1"/>
    </xf>
    <xf numFmtId="0" fontId="2076" fillId="0" borderId="1" xfId="0" applyFont="1" applyBorder="1" applyAlignment="1">
      <alignment horizontal="left" vertical="center" wrapText="1" indent="1"/>
    </xf>
    <xf numFmtId="0" fontId="2077" fillId="0" borderId="1" xfId="0" applyFont="1" applyBorder="1" applyAlignment="1">
      <alignment horizontal="left" vertical="center" wrapText="1" indent="1"/>
    </xf>
    <xf numFmtId="0" fontId="2078" fillId="0" borderId="1" xfId="0" applyFont="1" applyBorder="1" applyAlignment="1">
      <alignment horizontal="left" vertical="center" wrapText="1" indent="1"/>
    </xf>
    <xf numFmtId="0" fontId="2079" fillId="0" borderId="1" xfId="0" applyFont="1" applyBorder="1" applyAlignment="1">
      <alignment horizontal="left" vertical="center" wrapText="1" indent="1"/>
    </xf>
    <xf numFmtId="0" fontId="2080" fillId="0" borderId="1" xfId="0" applyFont="1" applyBorder="1" applyAlignment="1">
      <alignment horizontal="left" vertical="center" wrapText="1" indent="1"/>
    </xf>
    <xf numFmtId="0" fontId="2081" fillId="0" borderId="1" xfId="0" applyFont="1" applyBorder="1" applyAlignment="1">
      <alignment horizontal="left" vertical="center" wrapText="1" indent="1"/>
    </xf>
    <xf numFmtId="0" fontId="2082" fillId="0" borderId="1" xfId="0" applyFont="1" applyBorder="1" applyAlignment="1">
      <alignment horizontal="left" vertical="center" wrapText="1" indent="1"/>
    </xf>
    <xf numFmtId="0" fontId="2083" fillId="0" borderId="1" xfId="0" applyFont="1" applyBorder="1" applyAlignment="1">
      <alignment horizontal="left" vertical="center" wrapText="1" indent="1"/>
    </xf>
    <xf numFmtId="0" fontId="2084" fillId="0" borderId="1" xfId="0" applyFont="1" applyBorder="1" applyAlignment="1">
      <alignment horizontal="left" vertical="center" wrapText="1" indent="1"/>
    </xf>
    <xf numFmtId="0" fontId="2085" fillId="0" borderId="1" xfId="0" applyFont="1" applyBorder="1" applyAlignment="1">
      <alignment horizontal="left" vertical="center" wrapText="1" indent="1"/>
    </xf>
    <xf numFmtId="0" fontId="2086" fillId="0" borderId="1" xfId="0" applyFont="1" applyBorder="1" applyAlignment="1">
      <alignment horizontal="left" vertical="center" wrapText="1" indent="1"/>
    </xf>
    <xf numFmtId="0" fontId="2087" fillId="0" borderId="1" xfId="0" applyFont="1" applyBorder="1" applyAlignment="1">
      <alignment horizontal="left" vertical="center" wrapText="1" indent="1"/>
    </xf>
    <xf numFmtId="0" fontId="2088" fillId="0" borderId="1" xfId="0" applyFont="1" applyBorder="1" applyAlignment="1">
      <alignment horizontal="left" vertical="center" wrapText="1" indent="1"/>
    </xf>
    <xf numFmtId="0" fontId="2089" fillId="0" borderId="1" xfId="0" applyFont="1" applyBorder="1" applyAlignment="1">
      <alignment horizontal="left" vertical="center" wrapText="1" indent="1"/>
    </xf>
    <xf numFmtId="0" fontId="2090" fillId="0" borderId="1" xfId="0" applyFont="1" applyBorder="1" applyAlignment="1">
      <alignment horizontal="left" vertical="center" wrapText="1" indent="1"/>
    </xf>
    <xf numFmtId="0" fontId="2091" fillId="0" borderId="1" xfId="0" applyFont="1" applyBorder="1" applyAlignment="1">
      <alignment horizontal="left" vertical="center" wrapText="1" indent="1"/>
    </xf>
    <xf numFmtId="0" fontId="2092" fillId="0" borderId="1" xfId="0" applyFont="1" applyBorder="1" applyAlignment="1">
      <alignment horizontal="left" vertical="center" wrapText="1" indent="1"/>
    </xf>
    <xf numFmtId="0" fontId="2093" fillId="0" borderId="1" xfId="0" applyFont="1" applyBorder="1" applyAlignment="1">
      <alignment horizontal="left" vertical="center" wrapText="1" indent="1"/>
    </xf>
    <xf numFmtId="0" fontId="2094" fillId="0" borderId="1" xfId="0" applyFont="1" applyBorder="1" applyAlignment="1">
      <alignment horizontal="left" vertical="center" wrapText="1" indent="1"/>
    </xf>
    <xf numFmtId="0" fontId="2095" fillId="0" borderId="1" xfId="0" applyFont="1" applyBorder="1" applyAlignment="1">
      <alignment horizontal="left" vertical="center" wrapText="1" indent="1"/>
    </xf>
    <xf numFmtId="0" fontId="2096" fillId="0" borderId="1" xfId="0" applyFont="1" applyBorder="1" applyAlignment="1">
      <alignment horizontal="left" vertical="center" wrapText="1" indent="1"/>
    </xf>
    <xf numFmtId="0" fontId="2097" fillId="0" borderId="1" xfId="0" applyFont="1" applyBorder="1" applyAlignment="1">
      <alignment horizontal="left" vertical="center" wrapText="1" indent="1"/>
    </xf>
    <xf numFmtId="0" fontId="2098" fillId="0" borderId="1" xfId="0" applyFont="1" applyBorder="1" applyAlignment="1">
      <alignment horizontal="left" vertical="center" wrapText="1" indent="1"/>
    </xf>
    <xf numFmtId="0" fontId="2099" fillId="0" borderId="1" xfId="0" applyFont="1" applyBorder="1" applyAlignment="1">
      <alignment horizontal="left" vertical="center" wrapText="1" indent="1"/>
    </xf>
    <xf numFmtId="0" fontId="2100" fillId="0" borderId="1" xfId="0" applyFont="1" applyBorder="1" applyAlignment="1">
      <alignment horizontal="left" vertical="center" wrapText="1" indent="1"/>
    </xf>
    <xf numFmtId="0" fontId="2101" fillId="0" borderId="1" xfId="0" applyFont="1" applyBorder="1" applyAlignment="1">
      <alignment horizontal="left" vertical="center" wrapText="1" indent="1"/>
    </xf>
    <xf numFmtId="0" fontId="2102" fillId="0" borderId="1" xfId="0" applyFont="1" applyBorder="1" applyAlignment="1">
      <alignment horizontal="left" vertical="center" wrapText="1" indent="1"/>
    </xf>
    <xf numFmtId="0" fontId="2103" fillId="0" borderId="1" xfId="0" applyFont="1" applyBorder="1" applyAlignment="1">
      <alignment horizontal="left" vertical="center" wrapText="1" indent="1"/>
    </xf>
    <xf numFmtId="0" fontId="2104" fillId="0" borderId="1" xfId="0" applyFont="1" applyBorder="1" applyAlignment="1">
      <alignment horizontal="left" vertical="center" wrapText="1" indent="1"/>
    </xf>
    <xf numFmtId="0" fontId="2105" fillId="0" borderId="1" xfId="0" applyFont="1" applyBorder="1" applyAlignment="1">
      <alignment horizontal="left" vertical="center" wrapText="1" indent="1"/>
    </xf>
    <xf numFmtId="0" fontId="2106" fillId="0" borderId="1" xfId="0" applyFont="1" applyBorder="1" applyAlignment="1">
      <alignment horizontal="left" vertical="center" wrapText="1" indent="1"/>
    </xf>
    <xf numFmtId="0" fontId="2107" fillId="0" borderId="1" xfId="0" applyFont="1" applyBorder="1" applyAlignment="1">
      <alignment horizontal="left" vertical="center" wrapText="1" indent="1"/>
    </xf>
    <xf numFmtId="0" fontId="2108" fillId="0" borderId="1" xfId="0" applyFont="1" applyBorder="1" applyAlignment="1">
      <alignment horizontal="left" vertical="center" wrapText="1" indent="1"/>
    </xf>
    <xf numFmtId="0" fontId="2109" fillId="0" borderId="1" xfId="0" applyFont="1" applyBorder="1" applyAlignment="1">
      <alignment horizontal="left" vertical="center" wrapText="1" indent="1"/>
    </xf>
    <xf numFmtId="0" fontId="2110" fillId="0" borderId="1" xfId="0" applyFont="1" applyBorder="1" applyAlignment="1">
      <alignment horizontal="left" vertical="center" wrapText="1" indent="1"/>
    </xf>
    <xf numFmtId="0" fontId="2111" fillId="0" borderId="1" xfId="0" applyFont="1" applyBorder="1" applyAlignment="1">
      <alignment horizontal="left" vertical="center" wrapText="1" indent="1"/>
    </xf>
    <xf numFmtId="0" fontId="2112" fillId="0" borderId="1" xfId="0" applyFont="1" applyBorder="1" applyAlignment="1">
      <alignment horizontal="left" vertical="center" wrapText="1" indent="1"/>
    </xf>
    <xf numFmtId="0" fontId="2113" fillId="0" borderId="1" xfId="0" applyFont="1" applyBorder="1" applyAlignment="1">
      <alignment horizontal="left" vertical="center" wrapText="1" indent="1"/>
    </xf>
    <xf numFmtId="0" fontId="2114" fillId="0" borderId="1" xfId="0" applyFont="1" applyBorder="1" applyAlignment="1">
      <alignment horizontal="left" vertical="center" wrapText="1" indent="1"/>
    </xf>
    <xf numFmtId="0" fontId="2115" fillId="0" borderId="1" xfId="0" applyFont="1" applyBorder="1" applyAlignment="1">
      <alignment horizontal="left" vertical="center" wrapText="1" indent="1"/>
    </xf>
    <xf numFmtId="0" fontId="2116" fillId="0" borderId="1" xfId="0" applyFont="1" applyBorder="1" applyAlignment="1">
      <alignment horizontal="left" vertical="center" wrapText="1" indent="1"/>
    </xf>
    <xf numFmtId="0" fontId="2117" fillId="0" borderId="1" xfId="0" applyFont="1" applyBorder="1" applyAlignment="1">
      <alignment horizontal="left" vertical="center" wrapText="1" indent="1"/>
    </xf>
    <xf numFmtId="0" fontId="2118" fillId="0" borderId="1" xfId="0" applyFont="1" applyBorder="1" applyAlignment="1">
      <alignment horizontal="left" vertical="center" wrapText="1" indent="1"/>
    </xf>
    <xf numFmtId="0" fontId="2119" fillId="0" borderId="1" xfId="0" applyFont="1" applyBorder="1" applyAlignment="1">
      <alignment horizontal="left" vertical="center" wrapText="1" indent="1"/>
    </xf>
    <xf numFmtId="0" fontId="2120" fillId="0" borderId="1" xfId="0" applyFont="1" applyBorder="1" applyAlignment="1">
      <alignment horizontal="left" vertical="center" wrapText="1" indent="1"/>
    </xf>
    <xf numFmtId="0" fontId="2121" fillId="0" borderId="1" xfId="0" applyFont="1" applyBorder="1" applyAlignment="1">
      <alignment horizontal="left" vertical="center" wrapText="1" indent="1"/>
    </xf>
    <xf numFmtId="0" fontId="2122" fillId="0" borderId="1" xfId="0" applyFont="1" applyBorder="1" applyAlignment="1">
      <alignment horizontal="left" vertical="center" wrapText="1" indent="1"/>
    </xf>
    <xf numFmtId="0" fontId="2123" fillId="0" borderId="1" xfId="0" applyFont="1" applyBorder="1" applyAlignment="1">
      <alignment horizontal="left" vertical="center" wrapText="1" indent="1"/>
    </xf>
    <xf numFmtId="0" fontId="2124" fillId="0" borderId="1" xfId="0" applyFont="1" applyBorder="1" applyAlignment="1">
      <alignment horizontal="left" vertical="center" wrapText="1" indent="1"/>
    </xf>
    <xf numFmtId="0" fontId="2125" fillId="0" borderId="1" xfId="0" applyFont="1" applyBorder="1" applyAlignment="1">
      <alignment horizontal="left" vertical="center" wrapText="1" indent="1"/>
    </xf>
    <xf numFmtId="0" fontId="2126" fillId="0" borderId="1" xfId="0" applyFont="1" applyBorder="1" applyAlignment="1">
      <alignment horizontal="left" vertical="center" wrapText="1" indent="1"/>
    </xf>
    <xf numFmtId="0" fontId="2127" fillId="0" borderId="1" xfId="0" applyFont="1" applyBorder="1" applyAlignment="1">
      <alignment horizontal="left" vertical="center" wrapText="1" indent="1"/>
    </xf>
    <xf numFmtId="0" fontId="2128" fillId="0" borderId="1" xfId="0" applyFont="1" applyBorder="1" applyAlignment="1">
      <alignment horizontal="left" vertical="center" wrapText="1" indent="1"/>
    </xf>
    <xf numFmtId="0" fontId="2129" fillId="0" borderId="1" xfId="0" applyFont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I2142"/>
  <sheetViews>
    <sheetView tabSelected="1" zoomScale="70" zoomScaleNormal="70" workbookViewId="0">
      <selection activeCell="P10" sqref="P10"/>
    </sheetView>
  </sheetViews>
  <sheetFormatPr defaultColWidth="10.5" defaultRowHeight="11.45" customHeight="1" outlineLevelRow="1" x14ac:dyDescent="0.2"/>
  <cols>
    <col min="1" max="2" width="25.6640625" style="1" customWidth="1"/>
    <col min="3" max="3" width="46.6640625" style="1" customWidth="1"/>
    <col min="4" max="4" width="14" style="1" customWidth="1"/>
    <col min="5" max="5" width="25.6640625" style="1" customWidth="1"/>
    <col min="6" max="7" width="14" style="1" customWidth="1"/>
    <col min="8" max="9" width="25.6640625" style="1" customWidth="1"/>
  </cols>
  <sheetData>
    <row r="1" spans="1:9" s="1" customFormat="1" ht="6" customHeight="1" x14ac:dyDescent="0.15"/>
    <row r="2" spans="1:9" s="1" customFormat="1" ht="14.1" customHeight="1" x14ac:dyDescent="0.15">
      <c r="A2" s="2131" t="s">
        <v>0</v>
      </c>
      <c r="B2" s="2131" t="s">
        <v>1</v>
      </c>
      <c r="C2" s="2131" t="s">
        <v>2</v>
      </c>
      <c r="D2" s="2131" t="s">
        <v>3</v>
      </c>
      <c r="E2" s="2131" t="s">
        <v>4</v>
      </c>
      <c r="F2" s="2131" t="s">
        <v>5</v>
      </c>
      <c r="G2" s="2131" t="s">
        <v>6</v>
      </c>
      <c r="H2" s="2131" t="s">
        <v>7</v>
      </c>
      <c r="I2" s="2131" t="s">
        <v>8</v>
      </c>
    </row>
    <row r="3" spans="1:9" s="1" customFormat="1" ht="14.1" customHeight="1" x14ac:dyDescent="0.15">
      <c r="A3" s="2132"/>
      <c r="B3" s="2132"/>
      <c r="C3" s="2132"/>
      <c r="D3" s="2132"/>
      <c r="E3" s="2132"/>
      <c r="F3" s="2132"/>
      <c r="G3" s="2132"/>
      <c r="H3" s="2132"/>
      <c r="I3" s="2132"/>
    </row>
    <row r="4" spans="1:9" s="1" customFormat="1" ht="14.1" customHeight="1" x14ac:dyDescent="0.15">
      <c r="A4" s="2" t="s">
        <v>9</v>
      </c>
      <c r="B4" s="3"/>
      <c r="C4" s="3"/>
      <c r="D4" s="3"/>
      <c r="E4" s="3"/>
      <c r="F4" s="3"/>
      <c r="G4" s="3"/>
      <c r="H4" s="3"/>
      <c r="I4" s="3"/>
    </row>
    <row r="5" spans="1:9" s="4" customFormat="1" ht="38.1" customHeight="1" outlineLevel="1" x14ac:dyDescent="0.2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6">
        <v>35280</v>
      </c>
      <c r="H5" s="7" t="str">
        <f>HYPERLINK("https://adv-map.ru/place/?LINK=d647970cd62d216903f4e2cfd688ea50","Ссылка")</f>
        <v>Ссылка</v>
      </c>
      <c r="I5" s="5" t="s">
        <v>15</v>
      </c>
    </row>
    <row r="6" spans="1:9" s="4" customFormat="1" ht="38.1" customHeight="1" outlineLevel="1" x14ac:dyDescent="0.2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16</v>
      </c>
      <c r="G6" s="6">
        <v>27720</v>
      </c>
      <c r="H6" s="8" t="str">
        <f>HYPERLINK("https://adv-map.ru/place/?LINK=ccd7077a95937ba3c8ca6b010b03c7df","Ссылка")</f>
        <v>Ссылка</v>
      </c>
      <c r="I6" s="5" t="s">
        <v>15</v>
      </c>
    </row>
    <row r="7" spans="1:9" s="4" customFormat="1" ht="38.1" customHeight="1" outlineLevel="1" x14ac:dyDescent="0.2">
      <c r="A7" s="5" t="s">
        <v>9</v>
      </c>
      <c r="B7" s="5" t="s">
        <v>17</v>
      </c>
      <c r="C7" s="5" t="s">
        <v>18</v>
      </c>
      <c r="D7" s="5" t="s">
        <v>12</v>
      </c>
      <c r="E7" s="5" t="s">
        <v>13</v>
      </c>
      <c r="F7" s="5" t="s">
        <v>14</v>
      </c>
      <c r="G7" s="6">
        <v>31500</v>
      </c>
      <c r="H7" s="9" t="str">
        <f>HYPERLINK("https://adv-map.ru/place/?LINK=3bb1359cd964bd33177950f64f1c1eda","Ссылка")</f>
        <v>Ссылка</v>
      </c>
      <c r="I7" s="5" t="s">
        <v>19</v>
      </c>
    </row>
    <row r="8" spans="1:9" s="4" customFormat="1" ht="38.1" customHeight="1" outlineLevel="1" x14ac:dyDescent="0.2">
      <c r="A8" s="5" t="s">
        <v>9</v>
      </c>
      <c r="B8" s="5" t="s">
        <v>17</v>
      </c>
      <c r="C8" s="5" t="s">
        <v>18</v>
      </c>
      <c r="D8" s="5" t="s">
        <v>12</v>
      </c>
      <c r="E8" s="5" t="s">
        <v>13</v>
      </c>
      <c r="F8" s="5" t="s">
        <v>16</v>
      </c>
      <c r="G8" s="6">
        <v>25200</v>
      </c>
      <c r="H8" s="10" t="str">
        <f>HYPERLINK("https://adv-map.ru/place/?LINK=d7c1000ed86f127a448bd3c4433dcb60","Ссылка")</f>
        <v>Ссылка</v>
      </c>
      <c r="I8" s="5" t="s">
        <v>19</v>
      </c>
    </row>
    <row r="9" spans="1:9" s="4" customFormat="1" ht="38.1" customHeight="1" outlineLevel="1" x14ac:dyDescent="0.2">
      <c r="A9" s="5" t="s">
        <v>9</v>
      </c>
      <c r="B9" s="5" t="s">
        <v>20</v>
      </c>
      <c r="C9" s="5" t="s">
        <v>21</v>
      </c>
      <c r="D9" s="5" t="s">
        <v>12</v>
      </c>
      <c r="E9" s="5" t="s">
        <v>13</v>
      </c>
      <c r="F9" s="5" t="s">
        <v>14</v>
      </c>
      <c r="G9" s="6">
        <v>31500</v>
      </c>
      <c r="H9" s="11" t="str">
        <f>HYPERLINK("https://adv-map.ru/place/?LINK=ea5ea97b3fb7fc25d28483b4a0b2fcdb","Ссылка")</f>
        <v>Ссылка</v>
      </c>
      <c r="I9" s="5" t="s">
        <v>22</v>
      </c>
    </row>
    <row r="10" spans="1:9" s="4" customFormat="1" ht="38.1" customHeight="1" outlineLevel="1" x14ac:dyDescent="0.2">
      <c r="A10" s="5" t="s">
        <v>9</v>
      </c>
      <c r="B10" s="5" t="s">
        <v>20</v>
      </c>
      <c r="C10" s="5" t="s">
        <v>21</v>
      </c>
      <c r="D10" s="5" t="s">
        <v>12</v>
      </c>
      <c r="E10" s="5" t="s">
        <v>13</v>
      </c>
      <c r="F10" s="5" t="s">
        <v>16</v>
      </c>
      <c r="G10" s="6">
        <v>25200</v>
      </c>
      <c r="H10" s="12" t="str">
        <f>HYPERLINK("https://adv-map.ru/place/?LINK=ddfcf81ca772bb754a84520f49bd196d","Ссылка")</f>
        <v>Ссылка</v>
      </c>
      <c r="I10" s="5" t="s">
        <v>22</v>
      </c>
    </row>
    <row r="11" spans="1:9" s="4" customFormat="1" ht="38.1" customHeight="1" outlineLevel="1" x14ac:dyDescent="0.2">
      <c r="A11" s="5" t="s">
        <v>9</v>
      </c>
      <c r="B11" s="5" t="s">
        <v>23</v>
      </c>
      <c r="C11" s="5" t="s">
        <v>24</v>
      </c>
      <c r="D11" s="5" t="s">
        <v>12</v>
      </c>
      <c r="E11" s="5" t="s">
        <v>13</v>
      </c>
      <c r="F11" s="5" t="s">
        <v>14</v>
      </c>
      <c r="G11" s="6">
        <v>31500</v>
      </c>
      <c r="H11" s="13" t="str">
        <f>HYPERLINK("https://adv-map.ru/place/?LINK=7832fa180e81fa2066852e9a754f0204","Ссылка")</f>
        <v>Ссылка</v>
      </c>
      <c r="I11" s="5" t="s">
        <v>25</v>
      </c>
    </row>
    <row r="12" spans="1:9" s="4" customFormat="1" ht="38.1" customHeight="1" outlineLevel="1" x14ac:dyDescent="0.2">
      <c r="A12" s="5" t="s">
        <v>9</v>
      </c>
      <c r="B12" s="5" t="s">
        <v>23</v>
      </c>
      <c r="C12" s="5" t="s">
        <v>24</v>
      </c>
      <c r="D12" s="5" t="s">
        <v>12</v>
      </c>
      <c r="E12" s="5" t="s">
        <v>13</v>
      </c>
      <c r="F12" s="5" t="s">
        <v>16</v>
      </c>
      <c r="G12" s="6">
        <v>25200</v>
      </c>
      <c r="H12" s="14" t="str">
        <f>HYPERLINK("https://adv-map.ru/place/?LINK=eeb1c9cf4f2417bca5b407580502c177","Ссылка")</f>
        <v>Ссылка</v>
      </c>
      <c r="I12" s="5" t="s">
        <v>25</v>
      </c>
    </row>
    <row r="13" spans="1:9" s="4" customFormat="1" ht="38.1" customHeight="1" outlineLevel="1" x14ac:dyDescent="0.2">
      <c r="A13" s="5" t="s">
        <v>9</v>
      </c>
      <c r="B13" s="5" t="s">
        <v>26</v>
      </c>
      <c r="C13" s="5" t="s">
        <v>27</v>
      </c>
      <c r="D13" s="5" t="s">
        <v>12</v>
      </c>
      <c r="E13" s="5" t="s">
        <v>13</v>
      </c>
      <c r="F13" s="5" t="s">
        <v>28</v>
      </c>
      <c r="G13" s="6">
        <v>31500</v>
      </c>
      <c r="H13" s="15" t="str">
        <f>HYPERLINK("https://adv-map.ru/place/?LINK=a67d22722a441b859a0093cd04e8cd45","Ссылка")</f>
        <v>Ссылка</v>
      </c>
      <c r="I13" s="5" t="s">
        <v>29</v>
      </c>
    </row>
    <row r="14" spans="1:9" s="4" customFormat="1" ht="38.1" customHeight="1" outlineLevel="1" x14ac:dyDescent="0.2">
      <c r="A14" s="5" t="s">
        <v>9</v>
      </c>
      <c r="B14" s="5" t="s">
        <v>26</v>
      </c>
      <c r="C14" s="5" t="s">
        <v>27</v>
      </c>
      <c r="D14" s="5" t="s">
        <v>12</v>
      </c>
      <c r="E14" s="5" t="s">
        <v>13</v>
      </c>
      <c r="F14" s="5" t="s">
        <v>30</v>
      </c>
      <c r="G14" s="6">
        <v>31500</v>
      </c>
      <c r="H14" s="16" t="str">
        <f>HYPERLINK("https://adv-map.ru/place/?LINK=40b493ae2d2060c426aedf7ac8e2645d","Ссылка")</f>
        <v>Ссылка</v>
      </c>
      <c r="I14" s="5" t="s">
        <v>29</v>
      </c>
    </row>
    <row r="15" spans="1:9" s="4" customFormat="1" ht="38.1" customHeight="1" outlineLevel="1" x14ac:dyDescent="0.2">
      <c r="A15" s="5" t="s">
        <v>9</v>
      </c>
      <c r="B15" s="5" t="s">
        <v>26</v>
      </c>
      <c r="C15" s="5" t="s">
        <v>27</v>
      </c>
      <c r="D15" s="5" t="s">
        <v>12</v>
      </c>
      <c r="E15" s="5" t="s">
        <v>13</v>
      </c>
      <c r="F15" s="5" t="s">
        <v>31</v>
      </c>
      <c r="G15" s="6">
        <v>31500</v>
      </c>
      <c r="H15" s="17" t="str">
        <f>HYPERLINK("https://adv-map.ru/place/?LINK=29651e4dee33daf8350deb388f291f84","Ссылка")</f>
        <v>Ссылка</v>
      </c>
      <c r="I15" s="5" t="s">
        <v>29</v>
      </c>
    </row>
    <row r="16" spans="1:9" s="4" customFormat="1" ht="38.1" customHeight="1" outlineLevel="1" x14ac:dyDescent="0.2">
      <c r="A16" s="5" t="s">
        <v>9</v>
      </c>
      <c r="B16" s="5" t="s">
        <v>26</v>
      </c>
      <c r="C16" s="5" t="s">
        <v>27</v>
      </c>
      <c r="D16" s="5" t="s">
        <v>12</v>
      </c>
      <c r="E16" s="5" t="s">
        <v>13</v>
      </c>
      <c r="F16" s="5" t="s">
        <v>32</v>
      </c>
      <c r="G16" s="6">
        <v>31500</v>
      </c>
      <c r="H16" s="18" t="str">
        <f>HYPERLINK("https://adv-map.ru/place/?LINK=d6079485e657399a3a4dc465ee2eb187","Ссылка")</f>
        <v>Ссылка</v>
      </c>
      <c r="I16" s="5" t="s">
        <v>29</v>
      </c>
    </row>
    <row r="17" spans="1:9" s="4" customFormat="1" ht="38.1" customHeight="1" outlineLevel="1" x14ac:dyDescent="0.2">
      <c r="A17" s="5" t="s">
        <v>9</v>
      </c>
      <c r="B17" s="5" t="s">
        <v>26</v>
      </c>
      <c r="C17" s="5" t="s">
        <v>27</v>
      </c>
      <c r="D17" s="5" t="s">
        <v>12</v>
      </c>
      <c r="E17" s="5" t="s">
        <v>13</v>
      </c>
      <c r="F17" s="5" t="s">
        <v>33</v>
      </c>
      <c r="G17" s="6">
        <v>25200</v>
      </c>
      <c r="H17" s="19" t="str">
        <f>HYPERLINK("https://adv-map.ru/place/?LINK=5f4de65528da075166c362ed7282f8e3","Ссылка")</f>
        <v>Ссылка</v>
      </c>
      <c r="I17" s="5" t="s">
        <v>29</v>
      </c>
    </row>
    <row r="18" spans="1:9" s="4" customFormat="1" ht="38.1" customHeight="1" outlineLevel="1" x14ac:dyDescent="0.2">
      <c r="A18" s="5" t="s">
        <v>9</v>
      </c>
      <c r="B18" s="5" t="s">
        <v>26</v>
      </c>
      <c r="C18" s="5" t="s">
        <v>27</v>
      </c>
      <c r="D18" s="5" t="s">
        <v>12</v>
      </c>
      <c r="E18" s="5" t="s">
        <v>13</v>
      </c>
      <c r="F18" s="5" t="s">
        <v>34</v>
      </c>
      <c r="G18" s="6">
        <v>25200</v>
      </c>
      <c r="H18" s="20" t="str">
        <f>HYPERLINK("https://adv-map.ru/place/?LINK=23db638ce6f53da6657d6b6c0bf7ae01","Ссылка")</f>
        <v>Ссылка</v>
      </c>
      <c r="I18" s="5" t="s">
        <v>29</v>
      </c>
    </row>
    <row r="19" spans="1:9" s="4" customFormat="1" ht="38.1" customHeight="1" outlineLevel="1" x14ac:dyDescent="0.2">
      <c r="A19" s="5" t="s">
        <v>9</v>
      </c>
      <c r="B19" s="5" t="s">
        <v>26</v>
      </c>
      <c r="C19" s="5" t="s">
        <v>27</v>
      </c>
      <c r="D19" s="5" t="s">
        <v>12</v>
      </c>
      <c r="E19" s="5" t="s">
        <v>13</v>
      </c>
      <c r="F19" s="5" t="s">
        <v>35</v>
      </c>
      <c r="G19" s="6">
        <v>25200</v>
      </c>
      <c r="H19" s="21" t="str">
        <f>HYPERLINK("https://adv-map.ru/place/?LINK=eff28a6a2f78871232711d2f9fba09bc","Ссылка")</f>
        <v>Ссылка</v>
      </c>
      <c r="I19" s="5" t="s">
        <v>29</v>
      </c>
    </row>
    <row r="20" spans="1:9" s="4" customFormat="1" ht="38.1" customHeight="1" outlineLevel="1" x14ac:dyDescent="0.2">
      <c r="A20" s="5" t="s">
        <v>9</v>
      </c>
      <c r="B20" s="5" t="s">
        <v>26</v>
      </c>
      <c r="C20" s="5" t="s">
        <v>27</v>
      </c>
      <c r="D20" s="5" t="s">
        <v>12</v>
      </c>
      <c r="E20" s="5" t="s">
        <v>13</v>
      </c>
      <c r="F20" s="5" t="s">
        <v>36</v>
      </c>
      <c r="G20" s="6">
        <v>25200</v>
      </c>
      <c r="H20" s="22" t="str">
        <f>HYPERLINK("https://adv-map.ru/place/?LINK=a3f8a9ca55f92a0501713a6bf31de24f","Ссылка")</f>
        <v>Ссылка</v>
      </c>
      <c r="I20" s="5" t="s">
        <v>29</v>
      </c>
    </row>
    <row r="21" spans="1:9" s="4" customFormat="1" ht="38.1" customHeight="1" outlineLevel="1" x14ac:dyDescent="0.2">
      <c r="A21" s="5" t="s">
        <v>9</v>
      </c>
      <c r="B21" s="5" t="s">
        <v>26</v>
      </c>
      <c r="C21" s="5" t="s">
        <v>27</v>
      </c>
      <c r="D21" s="5" t="s">
        <v>12</v>
      </c>
      <c r="E21" s="5" t="s">
        <v>13</v>
      </c>
      <c r="F21" s="5" t="s">
        <v>37</v>
      </c>
      <c r="G21" s="6">
        <v>31500</v>
      </c>
      <c r="H21" s="23" t="str">
        <f>HYPERLINK("https://adv-map.ru/place/?LINK=4556dad1154d5a7548cc8da70f58b169","Ссылка")</f>
        <v>Ссылка</v>
      </c>
      <c r="I21" s="5" t="s">
        <v>29</v>
      </c>
    </row>
    <row r="22" spans="1:9" s="4" customFormat="1" ht="38.1" customHeight="1" outlineLevel="1" x14ac:dyDescent="0.2">
      <c r="A22" s="5" t="s">
        <v>9</v>
      </c>
      <c r="B22" s="5" t="s">
        <v>26</v>
      </c>
      <c r="C22" s="5" t="s">
        <v>27</v>
      </c>
      <c r="D22" s="5" t="s">
        <v>12</v>
      </c>
      <c r="E22" s="5" t="s">
        <v>13</v>
      </c>
      <c r="F22" s="5" t="s">
        <v>38</v>
      </c>
      <c r="G22" s="6">
        <v>31500</v>
      </c>
      <c r="H22" s="24" t="str">
        <f>HYPERLINK("https://adv-map.ru/place/?LINK=2e3cffb55100728582d716553786d238","Ссылка")</f>
        <v>Ссылка</v>
      </c>
      <c r="I22" s="5" t="s">
        <v>29</v>
      </c>
    </row>
    <row r="23" spans="1:9" s="4" customFormat="1" ht="38.1" customHeight="1" outlineLevel="1" x14ac:dyDescent="0.2">
      <c r="A23" s="5" t="s">
        <v>9</v>
      </c>
      <c r="B23" s="5" t="s">
        <v>26</v>
      </c>
      <c r="C23" s="5" t="s">
        <v>27</v>
      </c>
      <c r="D23" s="5" t="s">
        <v>12</v>
      </c>
      <c r="E23" s="5" t="s">
        <v>13</v>
      </c>
      <c r="F23" s="5" t="s">
        <v>39</v>
      </c>
      <c r="G23" s="6">
        <v>31500</v>
      </c>
      <c r="H23" s="25" t="str">
        <f>HYPERLINK("https://adv-map.ru/place/?LINK=6a44a29a4ee3938f6e514eb0ad43d194","Ссылка")</f>
        <v>Ссылка</v>
      </c>
      <c r="I23" s="5" t="s">
        <v>29</v>
      </c>
    </row>
    <row r="24" spans="1:9" s="4" customFormat="1" ht="38.1" customHeight="1" outlineLevel="1" x14ac:dyDescent="0.2">
      <c r="A24" s="5" t="s">
        <v>9</v>
      </c>
      <c r="B24" s="5" t="s">
        <v>26</v>
      </c>
      <c r="C24" s="5" t="s">
        <v>27</v>
      </c>
      <c r="D24" s="5" t="s">
        <v>12</v>
      </c>
      <c r="E24" s="5" t="s">
        <v>13</v>
      </c>
      <c r="F24" s="5" t="s">
        <v>40</v>
      </c>
      <c r="G24" s="6">
        <v>31500</v>
      </c>
      <c r="H24" s="26" t="str">
        <f>HYPERLINK("https://adv-map.ru/place/?LINK=adb3b8ddc7781577c568fee61dbb0201","Ссылка")</f>
        <v>Ссылка</v>
      </c>
      <c r="I24" s="5" t="s">
        <v>29</v>
      </c>
    </row>
    <row r="25" spans="1:9" s="4" customFormat="1" ht="38.1" customHeight="1" outlineLevel="1" x14ac:dyDescent="0.2">
      <c r="A25" s="5" t="s">
        <v>9</v>
      </c>
      <c r="B25" s="5" t="s">
        <v>41</v>
      </c>
      <c r="C25" s="5" t="s">
        <v>42</v>
      </c>
      <c r="D25" s="5" t="s">
        <v>43</v>
      </c>
      <c r="E25" s="5" t="s">
        <v>44</v>
      </c>
      <c r="F25" s="5" t="s">
        <v>14</v>
      </c>
      <c r="G25" s="6">
        <v>30240</v>
      </c>
      <c r="H25" s="27" t="str">
        <f>HYPERLINK("https://adv-map.ru/place/?LINK=4af7a5deaf561138c6e4067139a60a48","Ссылка")</f>
        <v>Ссылка</v>
      </c>
      <c r="I25" s="5" t="s">
        <v>45</v>
      </c>
    </row>
    <row r="26" spans="1:9" s="4" customFormat="1" ht="38.1" customHeight="1" outlineLevel="1" x14ac:dyDescent="0.2">
      <c r="A26" s="5" t="s">
        <v>9</v>
      </c>
      <c r="B26" s="5" t="s">
        <v>41</v>
      </c>
      <c r="C26" s="5" t="s">
        <v>42</v>
      </c>
      <c r="D26" s="5" t="s">
        <v>43</v>
      </c>
      <c r="E26" s="5" t="s">
        <v>44</v>
      </c>
      <c r="F26" s="5" t="s">
        <v>16</v>
      </c>
      <c r="G26" s="6">
        <v>25200</v>
      </c>
      <c r="H26" s="28" t="str">
        <f>HYPERLINK("https://adv-map.ru/place/?LINK=93f63c9f23937d75c0077b3797856335","Ссылка")</f>
        <v>Ссылка</v>
      </c>
      <c r="I26" s="5" t="s">
        <v>45</v>
      </c>
    </row>
    <row r="27" spans="1:9" s="4" customFormat="1" ht="38.1" customHeight="1" outlineLevel="1" x14ac:dyDescent="0.2">
      <c r="A27" s="5" t="s">
        <v>9</v>
      </c>
      <c r="B27" s="5" t="s">
        <v>41</v>
      </c>
      <c r="C27" s="5" t="s">
        <v>46</v>
      </c>
      <c r="D27" s="5" t="s">
        <v>12</v>
      </c>
      <c r="E27" s="5" t="s">
        <v>13</v>
      </c>
      <c r="F27" s="5" t="s">
        <v>14</v>
      </c>
      <c r="G27" s="6">
        <v>31500</v>
      </c>
      <c r="H27" s="29" t="str">
        <f>HYPERLINK("https://adv-map.ru/place/?LINK=b3950b88dca4619b64a548d1a799fb85","Ссылка")</f>
        <v>Ссылка</v>
      </c>
      <c r="I27" s="5" t="s">
        <v>47</v>
      </c>
    </row>
    <row r="28" spans="1:9" s="4" customFormat="1" ht="38.1" customHeight="1" outlineLevel="1" x14ac:dyDescent="0.2">
      <c r="A28" s="5" t="s">
        <v>9</v>
      </c>
      <c r="B28" s="5" t="s">
        <v>41</v>
      </c>
      <c r="C28" s="5" t="s">
        <v>46</v>
      </c>
      <c r="D28" s="5" t="s">
        <v>12</v>
      </c>
      <c r="E28" s="5" t="s">
        <v>13</v>
      </c>
      <c r="F28" s="5" t="s">
        <v>16</v>
      </c>
      <c r="G28" s="6">
        <v>25200</v>
      </c>
      <c r="H28" s="30" t="str">
        <f>HYPERLINK("https://adv-map.ru/place/?LINK=0519d989234b391a16e3fb893cb39223","Ссылка")</f>
        <v>Ссылка</v>
      </c>
      <c r="I28" s="5" t="s">
        <v>47</v>
      </c>
    </row>
    <row r="29" spans="1:9" s="4" customFormat="1" ht="38.1" customHeight="1" outlineLevel="1" x14ac:dyDescent="0.2">
      <c r="A29" s="5" t="s">
        <v>9</v>
      </c>
      <c r="B29" s="5" t="s">
        <v>41</v>
      </c>
      <c r="C29" s="5" t="s">
        <v>48</v>
      </c>
      <c r="D29" s="5" t="s">
        <v>49</v>
      </c>
      <c r="E29" s="5" t="s">
        <v>50</v>
      </c>
      <c r="F29" s="5" t="s">
        <v>28</v>
      </c>
      <c r="G29" s="6">
        <v>40000</v>
      </c>
      <c r="H29" s="31" t="str">
        <f>HYPERLINK("https://adv-map.ru/place/?LINK=a20ea2cda11a53afd4c2833f70968e9c","Ссылка")</f>
        <v>Ссылка</v>
      </c>
      <c r="I29" s="5" t="s">
        <v>51</v>
      </c>
    </row>
    <row r="30" spans="1:9" s="4" customFormat="1" ht="38.1" customHeight="1" outlineLevel="1" x14ac:dyDescent="0.2">
      <c r="A30" s="5" t="s">
        <v>9</v>
      </c>
      <c r="B30" s="5" t="s">
        <v>41</v>
      </c>
      <c r="C30" s="5" t="s">
        <v>48</v>
      </c>
      <c r="D30" s="5" t="s">
        <v>49</v>
      </c>
      <c r="E30" s="5" t="s">
        <v>50</v>
      </c>
      <c r="F30" s="5" t="s">
        <v>30</v>
      </c>
      <c r="G30" s="6">
        <v>40000</v>
      </c>
      <c r="H30" s="32" t="str">
        <f>HYPERLINK("https://adv-map.ru/place/?LINK=d0b4441ad36bb716084c5894e2a2c38e","Ссылка")</f>
        <v>Ссылка</v>
      </c>
      <c r="I30" s="5" t="s">
        <v>51</v>
      </c>
    </row>
    <row r="31" spans="1:9" s="4" customFormat="1" ht="38.1" customHeight="1" outlineLevel="1" x14ac:dyDescent="0.2">
      <c r="A31" s="5" t="s">
        <v>9</v>
      </c>
      <c r="B31" s="5" t="s">
        <v>41</v>
      </c>
      <c r="C31" s="5" t="s">
        <v>48</v>
      </c>
      <c r="D31" s="5" t="s">
        <v>49</v>
      </c>
      <c r="E31" s="5" t="s">
        <v>50</v>
      </c>
      <c r="F31" s="5" t="s">
        <v>31</v>
      </c>
      <c r="G31" s="6">
        <v>40000</v>
      </c>
      <c r="H31" s="33" t="str">
        <f>HYPERLINK("https://adv-map.ru/place/?LINK=bc214e0c0a698c765deb9f85b81846fc","Ссылка")</f>
        <v>Ссылка</v>
      </c>
      <c r="I31" s="5" t="s">
        <v>51</v>
      </c>
    </row>
    <row r="32" spans="1:9" s="4" customFormat="1" ht="38.1" customHeight="1" outlineLevel="1" x14ac:dyDescent="0.2">
      <c r="A32" s="5" t="s">
        <v>9</v>
      </c>
      <c r="B32" s="5" t="s">
        <v>41</v>
      </c>
      <c r="C32" s="5" t="s">
        <v>48</v>
      </c>
      <c r="D32" s="5" t="s">
        <v>12</v>
      </c>
      <c r="E32" s="5" t="s">
        <v>13</v>
      </c>
      <c r="F32" s="5" t="s">
        <v>16</v>
      </c>
      <c r="G32" s="6">
        <v>42000</v>
      </c>
      <c r="H32" s="34" t="str">
        <f>HYPERLINK("https://adv-map.ru/place/?LINK=633d9e869e484fa886c12cd615dbff9e","Ссылка")</f>
        <v>Ссылка</v>
      </c>
      <c r="I32" s="5" t="s">
        <v>51</v>
      </c>
    </row>
    <row r="33" spans="1:9" s="4" customFormat="1" ht="38.1" customHeight="1" outlineLevel="1" x14ac:dyDescent="0.2">
      <c r="A33" s="5" t="s">
        <v>9</v>
      </c>
      <c r="B33" s="5" t="s">
        <v>52</v>
      </c>
      <c r="C33" s="5" t="s">
        <v>53</v>
      </c>
      <c r="D33" s="5" t="s">
        <v>43</v>
      </c>
      <c r="E33" s="5" t="s">
        <v>44</v>
      </c>
      <c r="F33" s="5" t="s">
        <v>14</v>
      </c>
      <c r="G33" s="6">
        <v>30240</v>
      </c>
      <c r="H33" s="35" t="str">
        <f>HYPERLINK("https://adv-map.ru/place/?LINK=3780b8fa51a8f3eec0c5eb24e66500cb","Ссылка")</f>
        <v>Ссылка</v>
      </c>
      <c r="I33" s="5" t="s">
        <v>54</v>
      </c>
    </row>
    <row r="34" spans="1:9" s="4" customFormat="1" ht="38.1" customHeight="1" outlineLevel="1" x14ac:dyDescent="0.2">
      <c r="A34" s="5" t="s">
        <v>9</v>
      </c>
      <c r="B34" s="5" t="s">
        <v>52</v>
      </c>
      <c r="C34" s="5" t="s">
        <v>53</v>
      </c>
      <c r="D34" s="5" t="s">
        <v>43</v>
      </c>
      <c r="E34" s="5" t="s">
        <v>44</v>
      </c>
      <c r="F34" s="5" t="s">
        <v>16</v>
      </c>
      <c r="G34" s="6">
        <v>25200</v>
      </c>
      <c r="H34" s="36" t="str">
        <f>HYPERLINK("https://adv-map.ru/place/?LINK=20137ba338969002d2cc0f1e7252edd5","Ссылка")</f>
        <v>Ссылка</v>
      </c>
      <c r="I34" s="5" t="s">
        <v>54</v>
      </c>
    </row>
    <row r="35" spans="1:9" s="4" customFormat="1" ht="38.1" customHeight="1" outlineLevel="1" x14ac:dyDescent="0.2">
      <c r="A35" s="5" t="s">
        <v>9</v>
      </c>
      <c r="B35" s="5" t="s">
        <v>52</v>
      </c>
      <c r="C35" s="5" t="s">
        <v>55</v>
      </c>
      <c r="D35" s="5" t="s">
        <v>43</v>
      </c>
      <c r="E35" s="5" t="s">
        <v>44</v>
      </c>
      <c r="F35" s="5" t="s">
        <v>14</v>
      </c>
      <c r="G35" s="6">
        <v>29400</v>
      </c>
      <c r="H35" s="37" t="str">
        <f>HYPERLINK("https://adv-map.ru/place/?LINK=fc3f58afa8caf231a51454925f4b954e","Ссылка")</f>
        <v>Ссылка</v>
      </c>
      <c r="I35" s="5" t="s">
        <v>56</v>
      </c>
    </row>
    <row r="36" spans="1:9" s="4" customFormat="1" ht="38.1" customHeight="1" outlineLevel="1" x14ac:dyDescent="0.2">
      <c r="A36" s="5" t="s">
        <v>9</v>
      </c>
      <c r="B36" s="5" t="s">
        <v>52</v>
      </c>
      <c r="C36" s="5" t="s">
        <v>55</v>
      </c>
      <c r="D36" s="5" t="s">
        <v>43</v>
      </c>
      <c r="E36" s="5" t="s">
        <v>44</v>
      </c>
      <c r="F36" s="5" t="s">
        <v>16</v>
      </c>
      <c r="G36" s="6">
        <v>25200</v>
      </c>
      <c r="H36" s="38" t="str">
        <f>HYPERLINK("https://adv-map.ru/place/?LINK=9ba170cca5a80ed42d570066d8f8d7e2","Ссылка")</f>
        <v>Ссылка</v>
      </c>
      <c r="I36" s="5" t="s">
        <v>56</v>
      </c>
    </row>
    <row r="37" spans="1:9" s="4" customFormat="1" ht="38.1" customHeight="1" outlineLevel="1" x14ac:dyDescent="0.2">
      <c r="A37" s="5" t="s">
        <v>9</v>
      </c>
      <c r="B37" s="5" t="s">
        <v>57</v>
      </c>
      <c r="C37" s="5" t="s">
        <v>58</v>
      </c>
      <c r="D37" s="5" t="s">
        <v>12</v>
      </c>
      <c r="E37" s="5" t="s">
        <v>13</v>
      </c>
      <c r="F37" s="5" t="s">
        <v>14</v>
      </c>
      <c r="G37" s="6">
        <v>28000</v>
      </c>
      <c r="H37" s="39" t="str">
        <f>HYPERLINK("https://adv-map.ru/place/?LINK=3f47091895d35959d0f7726f78532d36","Ссылка")</f>
        <v>Ссылка</v>
      </c>
      <c r="I37" s="5" t="s">
        <v>59</v>
      </c>
    </row>
    <row r="38" spans="1:9" s="4" customFormat="1" ht="38.1" customHeight="1" outlineLevel="1" x14ac:dyDescent="0.2">
      <c r="A38" s="5" t="s">
        <v>9</v>
      </c>
      <c r="B38" s="5" t="s">
        <v>57</v>
      </c>
      <c r="C38" s="5" t="s">
        <v>58</v>
      </c>
      <c r="D38" s="5" t="s">
        <v>12</v>
      </c>
      <c r="E38" s="5" t="s">
        <v>13</v>
      </c>
      <c r="F38" s="5" t="s">
        <v>16</v>
      </c>
      <c r="G38" s="6">
        <v>22000</v>
      </c>
      <c r="H38" s="40" t="str">
        <f>HYPERLINK("https://adv-map.ru/place/?LINK=dfab7ba6c26ba5527e0699b6d264f3b8","Ссылка")</f>
        <v>Ссылка</v>
      </c>
      <c r="I38" s="5" t="s">
        <v>59</v>
      </c>
    </row>
    <row r="39" spans="1:9" s="4" customFormat="1" ht="38.1" customHeight="1" outlineLevel="1" x14ac:dyDescent="0.2">
      <c r="A39" s="5" t="s">
        <v>9</v>
      </c>
      <c r="B39" s="5" t="s">
        <v>60</v>
      </c>
      <c r="C39" s="5" t="s">
        <v>61</v>
      </c>
      <c r="D39" s="5" t="s">
        <v>12</v>
      </c>
      <c r="E39" s="5" t="s">
        <v>13</v>
      </c>
      <c r="F39" s="5" t="s">
        <v>14</v>
      </c>
      <c r="G39" s="6">
        <v>26250</v>
      </c>
      <c r="H39" s="41" t="str">
        <f>HYPERLINK("https://adv-map.ru/place/?LINK=c169137accbef783de6ef92c516802e4","Ссылка")</f>
        <v>Ссылка</v>
      </c>
      <c r="I39" s="5" t="s">
        <v>62</v>
      </c>
    </row>
    <row r="40" spans="1:9" s="4" customFormat="1" ht="38.1" customHeight="1" outlineLevel="1" x14ac:dyDescent="0.2">
      <c r="A40" s="5" t="s">
        <v>9</v>
      </c>
      <c r="B40" s="5" t="s">
        <v>60</v>
      </c>
      <c r="C40" s="5" t="s">
        <v>61</v>
      </c>
      <c r="D40" s="5" t="s">
        <v>12</v>
      </c>
      <c r="E40" s="5" t="s">
        <v>13</v>
      </c>
      <c r="F40" s="5" t="s">
        <v>16</v>
      </c>
      <c r="G40" s="6">
        <v>21000</v>
      </c>
      <c r="H40" s="42" t="str">
        <f>HYPERLINK("https://adv-map.ru/place/?LINK=8bece3ed80566e84fb2ab2a057744ceb","Ссылка")</f>
        <v>Ссылка</v>
      </c>
      <c r="I40" s="5" t="s">
        <v>62</v>
      </c>
    </row>
    <row r="41" spans="1:9" s="4" customFormat="1" ht="38.1" customHeight="1" outlineLevel="1" x14ac:dyDescent="0.2">
      <c r="A41" s="5" t="s">
        <v>9</v>
      </c>
      <c r="B41" s="5" t="s">
        <v>63</v>
      </c>
      <c r="C41" s="5" t="s">
        <v>64</v>
      </c>
      <c r="D41" s="5" t="s">
        <v>12</v>
      </c>
      <c r="E41" s="5" t="s">
        <v>13</v>
      </c>
      <c r="F41" s="5" t="s">
        <v>14</v>
      </c>
      <c r="G41" s="6">
        <v>26250</v>
      </c>
      <c r="H41" s="43" t="str">
        <f>HYPERLINK("https://adv-map.ru/place/?LINK=4c42a6c902593117c1315ee374bcf796","Ссылка")</f>
        <v>Ссылка</v>
      </c>
      <c r="I41" s="5" t="s">
        <v>65</v>
      </c>
    </row>
    <row r="42" spans="1:9" s="4" customFormat="1" ht="38.1" customHeight="1" outlineLevel="1" x14ac:dyDescent="0.2">
      <c r="A42" s="5" t="s">
        <v>9</v>
      </c>
      <c r="B42" s="5" t="s">
        <v>63</v>
      </c>
      <c r="C42" s="5" t="s">
        <v>64</v>
      </c>
      <c r="D42" s="5" t="s">
        <v>12</v>
      </c>
      <c r="E42" s="5" t="s">
        <v>13</v>
      </c>
      <c r="F42" s="5" t="s">
        <v>16</v>
      </c>
      <c r="G42" s="6">
        <v>21000</v>
      </c>
      <c r="H42" s="44" t="str">
        <f>HYPERLINK("https://adv-map.ru/place/?LINK=ed0859ffe3a3c71c8feaa55591c7d238","Ссылка")</f>
        <v>Ссылка</v>
      </c>
      <c r="I42" s="5" t="s">
        <v>65</v>
      </c>
    </row>
    <row r="43" spans="1:9" s="4" customFormat="1" ht="51" customHeight="1" outlineLevel="1" x14ac:dyDescent="0.2">
      <c r="A43" s="5" t="s">
        <v>9</v>
      </c>
      <c r="B43" s="5" t="s">
        <v>63</v>
      </c>
      <c r="C43" s="5" t="s">
        <v>66</v>
      </c>
      <c r="D43" s="5" t="s">
        <v>12</v>
      </c>
      <c r="E43" s="5" t="s">
        <v>13</v>
      </c>
      <c r="F43" s="5" t="s">
        <v>14</v>
      </c>
      <c r="G43" s="6">
        <v>26250</v>
      </c>
      <c r="H43" s="45" t="str">
        <f>HYPERLINK("https://adv-map.ru/place/?LINK=eb2a55f9a6e7d9ba1563eb631da8a23b","Ссылка")</f>
        <v>Ссылка</v>
      </c>
      <c r="I43" s="5" t="s">
        <v>67</v>
      </c>
    </row>
    <row r="44" spans="1:9" s="4" customFormat="1" ht="38.1" customHeight="1" outlineLevel="1" x14ac:dyDescent="0.2">
      <c r="A44" s="5" t="s">
        <v>9</v>
      </c>
      <c r="B44" s="5" t="s">
        <v>63</v>
      </c>
      <c r="C44" s="5" t="s">
        <v>66</v>
      </c>
      <c r="D44" s="5" t="s">
        <v>12</v>
      </c>
      <c r="E44" s="5" t="s">
        <v>13</v>
      </c>
      <c r="F44" s="5" t="s">
        <v>16</v>
      </c>
      <c r="G44" s="6">
        <v>21000</v>
      </c>
      <c r="H44" s="46" t="str">
        <f>HYPERLINK("https://adv-map.ru/place/?LINK=106e1b854e4e095f6d1a801ffc68fafe","Ссылка")</f>
        <v>Ссылка</v>
      </c>
      <c r="I44" s="5" t="s">
        <v>67</v>
      </c>
    </row>
    <row r="45" spans="1:9" s="1" customFormat="1" ht="14.1" customHeight="1" x14ac:dyDescent="0.15">
      <c r="A45" s="2" t="s">
        <v>68</v>
      </c>
      <c r="B45" s="3"/>
      <c r="C45" s="3"/>
      <c r="D45" s="3"/>
      <c r="E45" s="3"/>
      <c r="F45" s="3"/>
      <c r="G45" s="3"/>
      <c r="H45" s="3"/>
      <c r="I45" s="3"/>
    </row>
    <row r="46" spans="1:9" s="4" customFormat="1" ht="38.1" customHeight="1" outlineLevel="1" x14ac:dyDescent="0.2">
      <c r="A46" s="5" t="s">
        <v>68</v>
      </c>
      <c r="B46" s="5" t="s">
        <v>69</v>
      </c>
      <c r="C46" s="5" t="s">
        <v>70</v>
      </c>
      <c r="D46" s="5" t="s">
        <v>12</v>
      </c>
      <c r="E46" s="5" t="s">
        <v>13</v>
      </c>
      <c r="F46" s="5" t="s">
        <v>16</v>
      </c>
      <c r="G46" s="6">
        <v>25200</v>
      </c>
      <c r="H46" s="47" t="str">
        <f>HYPERLINK("https://adv-map.ru/place/?LINK=01048457051b5568b3e0e30cac6d49ae","Ссылка")</f>
        <v>Ссылка</v>
      </c>
      <c r="I46" s="5" t="s">
        <v>71</v>
      </c>
    </row>
    <row r="47" spans="1:9" s="4" customFormat="1" ht="38.1" customHeight="1" outlineLevel="1" x14ac:dyDescent="0.2">
      <c r="A47" s="5" t="s">
        <v>68</v>
      </c>
      <c r="B47" s="5" t="s">
        <v>69</v>
      </c>
      <c r="C47" s="5" t="s">
        <v>72</v>
      </c>
      <c r="D47" s="5" t="s">
        <v>12</v>
      </c>
      <c r="E47" s="5" t="s">
        <v>13</v>
      </c>
      <c r="F47" s="5" t="s">
        <v>14</v>
      </c>
      <c r="G47" s="6">
        <v>31500</v>
      </c>
      <c r="H47" s="48" t="str">
        <f>HYPERLINK("https://adv-map.ru/place/?LINK=f11e8a7783d8ffc8462e607a0150d5ea","Ссылка")</f>
        <v>Ссылка</v>
      </c>
      <c r="I47" s="5" t="s">
        <v>71</v>
      </c>
    </row>
    <row r="48" spans="1:9" s="4" customFormat="1" ht="51" customHeight="1" outlineLevel="1" x14ac:dyDescent="0.2">
      <c r="A48" s="5" t="s">
        <v>68</v>
      </c>
      <c r="B48" s="5" t="s">
        <v>69</v>
      </c>
      <c r="C48" s="5" t="s">
        <v>73</v>
      </c>
      <c r="D48" s="5" t="s">
        <v>12</v>
      </c>
      <c r="E48" s="5" t="s">
        <v>13</v>
      </c>
      <c r="F48" s="5" t="s">
        <v>16</v>
      </c>
      <c r="G48" s="6">
        <v>25200</v>
      </c>
      <c r="H48" s="49" t="str">
        <f>HYPERLINK("https://adv-map.ru/place/?LINK=ed3f184be3a83d009688154a73add07d","Ссылка")</f>
        <v>Ссылка</v>
      </c>
      <c r="I48" s="5" t="s">
        <v>74</v>
      </c>
    </row>
    <row r="49" spans="1:9" s="4" customFormat="1" ht="38.1" customHeight="1" outlineLevel="1" x14ac:dyDescent="0.2">
      <c r="A49" s="5" t="s">
        <v>68</v>
      </c>
      <c r="B49" s="5" t="s">
        <v>69</v>
      </c>
      <c r="C49" s="5" t="s">
        <v>75</v>
      </c>
      <c r="D49" s="5" t="s">
        <v>12</v>
      </c>
      <c r="E49" s="5" t="s">
        <v>13</v>
      </c>
      <c r="F49" s="5" t="s">
        <v>14</v>
      </c>
      <c r="G49" s="6">
        <v>31500</v>
      </c>
      <c r="H49" s="50" t="str">
        <f>HYPERLINK("https://adv-map.ru/place/?LINK=9d4f39dcce965489252bd11a9bfcef09","Ссылка")</f>
        <v>Ссылка</v>
      </c>
      <c r="I49" s="5" t="s">
        <v>74</v>
      </c>
    </row>
    <row r="50" spans="1:9" s="4" customFormat="1" ht="38.1" customHeight="1" outlineLevel="1" x14ac:dyDescent="0.2">
      <c r="A50" s="5" t="s">
        <v>68</v>
      </c>
      <c r="B50" s="5" t="s">
        <v>69</v>
      </c>
      <c r="C50" s="5" t="s">
        <v>76</v>
      </c>
      <c r="D50" s="5" t="s">
        <v>12</v>
      </c>
      <c r="E50" s="5" t="s">
        <v>13</v>
      </c>
      <c r="F50" s="5" t="s">
        <v>16</v>
      </c>
      <c r="G50" s="6">
        <v>25200</v>
      </c>
      <c r="H50" s="51" t="str">
        <f>HYPERLINK("https://adv-map.ru/place/?LINK=ad6d7d2bb2e2a8887ed3340de07a1dec","Ссылка")</f>
        <v>Ссылка</v>
      </c>
      <c r="I50" s="5" t="s">
        <v>77</v>
      </c>
    </row>
    <row r="51" spans="1:9" s="4" customFormat="1" ht="38.1" customHeight="1" outlineLevel="1" x14ac:dyDescent="0.2">
      <c r="A51" s="5" t="s">
        <v>68</v>
      </c>
      <c r="B51" s="5" t="s">
        <v>69</v>
      </c>
      <c r="C51" s="5" t="s">
        <v>78</v>
      </c>
      <c r="D51" s="5" t="s">
        <v>12</v>
      </c>
      <c r="E51" s="5" t="s">
        <v>13</v>
      </c>
      <c r="F51" s="5" t="s">
        <v>14</v>
      </c>
      <c r="G51" s="6">
        <v>31500</v>
      </c>
      <c r="H51" s="52" t="str">
        <f>HYPERLINK("https://adv-map.ru/place/?LINK=cd22dbe7488820aca6caac68d50035c0","Ссылка")</f>
        <v>Ссылка</v>
      </c>
      <c r="I51" s="5" t="s">
        <v>77</v>
      </c>
    </row>
    <row r="52" spans="1:9" s="4" customFormat="1" ht="38.1" customHeight="1" outlineLevel="1" x14ac:dyDescent="0.2">
      <c r="A52" s="5" t="s">
        <v>68</v>
      </c>
      <c r="B52" s="5" t="s">
        <v>69</v>
      </c>
      <c r="C52" s="5" t="s">
        <v>79</v>
      </c>
      <c r="D52" s="5" t="s">
        <v>12</v>
      </c>
      <c r="E52" s="5" t="s">
        <v>13</v>
      </c>
      <c r="F52" s="5" t="s">
        <v>16</v>
      </c>
      <c r="G52" s="6">
        <v>25200</v>
      </c>
      <c r="H52" s="53" t="str">
        <f>HYPERLINK("https://adv-map.ru/place/?LINK=2d9d95b77ed91fa5824baa71bba9ac31","Ссылка")</f>
        <v>Ссылка</v>
      </c>
      <c r="I52" s="5" t="s">
        <v>80</v>
      </c>
    </row>
    <row r="53" spans="1:9" s="4" customFormat="1" ht="38.1" customHeight="1" outlineLevel="1" x14ac:dyDescent="0.2">
      <c r="A53" s="5" t="s">
        <v>68</v>
      </c>
      <c r="B53" s="5" t="s">
        <v>69</v>
      </c>
      <c r="C53" s="5" t="s">
        <v>81</v>
      </c>
      <c r="D53" s="5" t="s">
        <v>12</v>
      </c>
      <c r="E53" s="5" t="s">
        <v>13</v>
      </c>
      <c r="F53" s="5" t="s">
        <v>14</v>
      </c>
      <c r="G53" s="6">
        <v>31500</v>
      </c>
      <c r="H53" s="54" t="str">
        <f>HYPERLINK("https://adv-map.ru/place/?LINK=c877c3453f292d5a892bfac3119a8b85","Ссылка")</f>
        <v>Ссылка</v>
      </c>
      <c r="I53" s="5" t="s">
        <v>80</v>
      </c>
    </row>
    <row r="54" spans="1:9" s="4" customFormat="1" ht="38.1" customHeight="1" outlineLevel="1" x14ac:dyDescent="0.2">
      <c r="A54" s="5" t="s">
        <v>68</v>
      </c>
      <c r="B54" s="5" t="s">
        <v>69</v>
      </c>
      <c r="C54" s="5" t="s">
        <v>82</v>
      </c>
      <c r="D54" s="5" t="s">
        <v>12</v>
      </c>
      <c r="E54" s="5" t="s">
        <v>13</v>
      </c>
      <c r="F54" s="5" t="s">
        <v>14</v>
      </c>
      <c r="G54" s="6">
        <v>28000</v>
      </c>
      <c r="H54" s="55" t="str">
        <f>HYPERLINK("https://adv-map.ru/place/?LINK=6d3650b60b94fadc5bbeb41f286d00b4","Ссылка")</f>
        <v>Ссылка</v>
      </c>
      <c r="I54" s="5" t="s">
        <v>83</v>
      </c>
    </row>
    <row r="55" spans="1:9" s="4" customFormat="1" ht="38.1" customHeight="1" outlineLevel="1" x14ac:dyDescent="0.2">
      <c r="A55" s="5" t="s">
        <v>68</v>
      </c>
      <c r="B55" s="5" t="s">
        <v>69</v>
      </c>
      <c r="C55" s="5" t="s">
        <v>82</v>
      </c>
      <c r="D55" s="5" t="s">
        <v>12</v>
      </c>
      <c r="E55" s="5" t="s">
        <v>13</v>
      </c>
      <c r="F55" s="5" t="s">
        <v>16</v>
      </c>
      <c r="G55" s="6">
        <v>24000</v>
      </c>
      <c r="H55" s="56" t="str">
        <f>HYPERLINK("https://adv-map.ru/place/?LINK=3c078a49ce725e44bc9b20f6ace9c782","Ссылка")</f>
        <v>Ссылка</v>
      </c>
      <c r="I55" s="5" t="s">
        <v>83</v>
      </c>
    </row>
    <row r="56" spans="1:9" s="4" customFormat="1" ht="38.1" customHeight="1" outlineLevel="1" x14ac:dyDescent="0.2">
      <c r="A56" s="5" t="s">
        <v>68</v>
      </c>
      <c r="B56" s="5" t="s">
        <v>69</v>
      </c>
      <c r="C56" s="5" t="s">
        <v>84</v>
      </c>
      <c r="D56" s="5" t="s">
        <v>12</v>
      </c>
      <c r="E56" s="5" t="s">
        <v>13</v>
      </c>
      <c r="F56" s="5" t="s">
        <v>16</v>
      </c>
      <c r="G56" s="6">
        <v>25200</v>
      </c>
      <c r="H56" s="57" t="str">
        <f>HYPERLINK("https://adv-map.ru/place/?LINK=a118c166e755821d0e244cf4608b0e7e","Ссылка")</f>
        <v>Ссылка</v>
      </c>
      <c r="I56" s="5" t="s">
        <v>85</v>
      </c>
    </row>
    <row r="57" spans="1:9" s="4" customFormat="1" ht="51" customHeight="1" outlineLevel="1" x14ac:dyDescent="0.2">
      <c r="A57" s="5" t="s">
        <v>68</v>
      </c>
      <c r="B57" s="5" t="s">
        <v>69</v>
      </c>
      <c r="C57" s="5" t="s">
        <v>86</v>
      </c>
      <c r="D57" s="5" t="s">
        <v>12</v>
      </c>
      <c r="E57" s="5" t="s">
        <v>13</v>
      </c>
      <c r="F57" s="5" t="s">
        <v>14</v>
      </c>
      <c r="G57" s="6">
        <v>31500</v>
      </c>
      <c r="H57" s="58" t="str">
        <f>HYPERLINK("https://adv-map.ru/place/?LINK=d015b7dabee611524347606b6db30187","Ссылка")</f>
        <v>Ссылка</v>
      </c>
      <c r="I57" s="5" t="s">
        <v>85</v>
      </c>
    </row>
    <row r="58" spans="1:9" s="4" customFormat="1" ht="38.1" customHeight="1" outlineLevel="1" x14ac:dyDescent="0.2">
      <c r="A58" s="5" t="s">
        <v>68</v>
      </c>
      <c r="B58" s="5" t="s">
        <v>69</v>
      </c>
      <c r="C58" s="5" t="s">
        <v>87</v>
      </c>
      <c r="D58" s="5" t="s">
        <v>12</v>
      </c>
      <c r="E58" s="5" t="s">
        <v>13</v>
      </c>
      <c r="F58" s="5" t="s">
        <v>14</v>
      </c>
      <c r="G58" s="6">
        <v>31500</v>
      </c>
      <c r="H58" s="59" t="str">
        <f>HYPERLINK("https://adv-map.ru/place/?LINK=92f0150525fa799c38cd52107e2996d6","Ссылка")</f>
        <v>Ссылка</v>
      </c>
      <c r="I58" s="5" t="s">
        <v>88</v>
      </c>
    </row>
    <row r="59" spans="1:9" s="4" customFormat="1" ht="38.1" customHeight="1" outlineLevel="1" x14ac:dyDescent="0.2">
      <c r="A59" s="5" t="s">
        <v>68</v>
      </c>
      <c r="B59" s="5" t="s">
        <v>69</v>
      </c>
      <c r="C59" s="5" t="s">
        <v>87</v>
      </c>
      <c r="D59" s="5" t="s">
        <v>12</v>
      </c>
      <c r="E59" s="5" t="s">
        <v>13</v>
      </c>
      <c r="F59" s="5" t="s">
        <v>16</v>
      </c>
      <c r="G59" s="6">
        <v>20000</v>
      </c>
      <c r="H59" s="60" t="str">
        <f>HYPERLINK("https://adv-map.ru/place/?LINK=32ce9fcc0bde160809b71d0c4a3167a8","Ссылка")</f>
        <v>Ссылка</v>
      </c>
      <c r="I59" s="5" t="s">
        <v>89</v>
      </c>
    </row>
    <row r="60" spans="1:9" s="4" customFormat="1" ht="38.1" customHeight="1" outlineLevel="1" x14ac:dyDescent="0.2">
      <c r="A60" s="5" t="s">
        <v>68</v>
      </c>
      <c r="B60" s="5" t="s">
        <v>69</v>
      </c>
      <c r="C60" s="5" t="s">
        <v>90</v>
      </c>
      <c r="D60" s="5" t="s">
        <v>12</v>
      </c>
      <c r="E60" s="5" t="s">
        <v>13</v>
      </c>
      <c r="F60" s="5" t="s">
        <v>14</v>
      </c>
      <c r="G60" s="6">
        <v>31500</v>
      </c>
      <c r="H60" s="61" t="str">
        <f>HYPERLINK("https://adv-map.ru/place/?LINK=ee9f8e0f0a80a790e09342cfe820d404","Ссылка")</f>
        <v>Ссылка</v>
      </c>
      <c r="I60" s="5" t="s">
        <v>91</v>
      </c>
    </row>
    <row r="61" spans="1:9" s="4" customFormat="1" ht="38.1" customHeight="1" outlineLevel="1" x14ac:dyDescent="0.2">
      <c r="A61" s="5" t="s">
        <v>68</v>
      </c>
      <c r="B61" s="5" t="s">
        <v>69</v>
      </c>
      <c r="C61" s="5" t="s">
        <v>92</v>
      </c>
      <c r="D61" s="5" t="s">
        <v>12</v>
      </c>
      <c r="E61" s="5" t="s">
        <v>13</v>
      </c>
      <c r="F61" s="5" t="s">
        <v>16</v>
      </c>
      <c r="G61" s="6">
        <v>25200</v>
      </c>
      <c r="H61" s="62" t="str">
        <f>HYPERLINK("https://adv-map.ru/place/?LINK=f4ddec1e1637a3e64df0516ebf23d4c1","Ссылка")</f>
        <v>Ссылка</v>
      </c>
      <c r="I61" s="5" t="s">
        <v>91</v>
      </c>
    </row>
    <row r="62" spans="1:9" s="4" customFormat="1" ht="38.1" customHeight="1" outlineLevel="1" x14ac:dyDescent="0.2">
      <c r="A62" s="5" t="s">
        <v>68</v>
      </c>
      <c r="B62" s="5" t="s">
        <v>69</v>
      </c>
      <c r="C62" s="5" t="s">
        <v>93</v>
      </c>
      <c r="D62" s="5" t="s">
        <v>12</v>
      </c>
      <c r="E62" s="5" t="s">
        <v>13</v>
      </c>
      <c r="F62" s="5" t="s">
        <v>14</v>
      </c>
      <c r="G62" s="6">
        <v>31500</v>
      </c>
      <c r="H62" s="63" t="str">
        <f>HYPERLINK("https://adv-map.ru/place/?LINK=22e46178284c937931c4c9902f7690ec","Ссылка")</f>
        <v>Ссылка</v>
      </c>
      <c r="I62" s="5" t="s">
        <v>94</v>
      </c>
    </row>
    <row r="63" spans="1:9" s="4" customFormat="1" ht="38.1" customHeight="1" outlineLevel="1" x14ac:dyDescent="0.2">
      <c r="A63" s="5" t="s">
        <v>68</v>
      </c>
      <c r="B63" s="5" t="s">
        <v>69</v>
      </c>
      <c r="C63" s="5" t="s">
        <v>95</v>
      </c>
      <c r="D63" s="5" t="s">
        <v>12</v>
      </c>
      <c r="E63" s="5" t="s">
        <v>13</v>
      </c>
      <c r="F63" s="5" t="s">
        <v>16</v>
      </c>
      <c r="G63" s="6">
        <v>25200</v>
      </c>
      <c r="H63" s="64" t="str">
        <f>HYPERLINK("https://adv-map.ru/place/?LINK=f328a2060abebc4d1583b97a58074517","Ссылка")</f>
        <v>Ссылка</v>
      </c>
      <c r="I63" s="5" t="s">
        <v>94</v>
      </c>
    </row>
    <row r="64" spans="1:9" s="1" customFormat="1" ht="14.1" customHeight="1" x14ac:dyDescent="0.15">
      <c r="A64" s="2" t="s">
        <v>96</v>
      </c>
      <c r="B64" s="3"/>
      <c r="C64" s="3"/>
      <c r="D64" s="3"/>
      <c r="E64" s="3"/>
      <c r="F64" s="3"/>
      <c r="G64" s="3"/>
      <c r="H64" s="3"/>
      <c r="I64" s="3"/>
    </row>
    <row r="65" spans="1:9" s="4" customFormat="1" ht="38.1" customHeight="1" outlineLevel="1" x14ac:dyDescent="0.2">
      <c r="A65" s="5" t="s">
        <v>96</v>
      </c>
      <c r="B65" s="5" t="s">
        <v>97</v>
      </c>
      <c r="C65" s="5" t="s">
        <v>98</v>
      </c>
      <c r="D65" s="5" t="s">
        <v>12</v>
      </c>
      <c r="E65" s="5" t="s">
        <v>13</v>
      </c>
      <c r="F65" s="5" t="s">
        <v>14</v>
      </c>
      <c r="G65" s="6">
        <v>29400</v>
      </c>
      <c r="H65" s="65" t="str">
        <f>HYPERLINK("https://adv-map.ru/place/?LINK=274ae597c21f19426714b5c27bae7906","Ссылка")</f>
        <v>Ссылка</v>
      </c>
      <c r="I65" s="5" t="s">
        <v>99</v>
      </c>
    </row>
    <row r="66" spans="1:9" s="4" customFormat="1" ht="38.1" customHeight="1" outlineLevel="1" x14ac:dyDescent="0.2">
      <c r="A66" s="5" t="s">
        <v>96</v>
      </c>
      <c r="B66" s="5" t="s">
        <v>97</v>
      </c>
      <c r="C66" s="5" t="s">
        <v>98</v>
      </c>
      <c r="D66" s="5" t="s">
        <v>12</v>
      </c>
      <c r="E66" s="5" t="s">
        <v>13</v>
      </c>
      <c r="F66" s="5" t="s">
        <v>16</v>
      </c>
      <c r="G66" s="6">
        <v>25200</v>
      </c>
      <c r="H66" s="66" t="str">
        <f>HYPERLINK("https://adv-map.ru/place/?LINK=444b918242f680cc8f891bb3f12eb0d2","Ссылка")</f>
        <v>Ссылка</v>
      </c>
      <c r="I66" s="5" t="s">
        <v>99</v>
      </c>
    </row>
    <row r="67" spans="1:9" s="4" customFormat="1" ht="38.1" customHeight="1" outlineLevel="1" x14ac:dyDescent="0.2">
      <c r="A67" s="5" t="s">
        <v>96</v>
      </c>
      <c r="B67" s="5" t="s">
        <v>97</v>
      </c>
      <c r="C67" s="5" t="s">
        <v>100</v>
      </c>
      <c r="D67" s="5" t="s">
        <v>12</v>
      </c>
      <c r="E67" s="5" t="s">
        <v>13</v>
      </c>
      <c r="F67" s="5" t="s">
        <v>14</v>
      </c>
      <c r="G67" s="6">
        <v>29400</v>
      </c>
      <c r="H67" s="67" t="str">
        <f>HYPERLINK("https://adv-map.ru/place/?LINK=53cc64c8834f7196e1e148ef188c68c1","Ссылка")</f>
        <v>Ссылка</v>
      </c>
      <c r="I67" s="5" t="s">
        <v>101</v>
      </c>
    </row>
    <row r="68" spans="1:9" s="4" customFormat="1" ht="38.1" customHeight="1" outlineLevel="1" x14ac:dyDescent="0.2">
      <c r="A68" s="5" t="s">
        <v>96</v>
      </c>
      <c r="B68" s="5" t="s">
        <v>97</v>
      </c>
      <c r="C68" s="5" t="s">
        <v>100</v>
      </c>
      <c r="D68" s="5" t="s">
        <v>12</v>
      </c>
      <c r="E68" s="5" t="s">
        <v>13</v>
      </c>
      <c r="F68" s="5" t="s">
        <v>16</v>
      </c>
      <c r="G68" s="6">
        <v>12600</v>
      </c>
      <c r="H68" s="68" t="str">
        <f>HYPERLINK("https://adv-map.ru/place/?LINK=505186e20570cfd027229657edb06f1f","Ссылка")</f>
        <v>Ссылка</v>
      </c>
      <c r="I68" s="5" t="s">
        <v>101</v>
      </c>
    </row>
    <row r="69" spans="1:9" s="4" customFormat="1" ht="38.1" customHeight="1" outlineLevel="1" x14ac:dyDescent="0.2">
      <c r="A69" s="5" t="s">
        <v>96</v>
      </c>
      <c r="B69" s="5" t="s">
        <v>97</v>
      </c>
      <c r="C69" s="5" t="s">
        <v>102</v>
      </c>
      <c r="D69" s="5" t="s">
        <v>12</v>
      </c>
      <c r="E69" s="5" t="s">
        <v>13</v>
      </c>
      <c r="F69" s="5" t="s">
        <v>14</v>
      </c>
      <c r="G69" s="6">
        <v>31500</v>
      </c>
      <c r="H69" s="69" t="str">
        <f>HYPERLINK("https://adv-map.ru/place/?LINK=f2601bc576022a1b61b8cc71553747e1","Ссылка")</f>
        <v>Ссылка</v>
      </c>
      <c r="I69" s="5" t="s">
        <v>103</v>
      </c>
    </row>
    <row r="70" spans="1:9" s="4" customFormat="1" ht="38.1" customHeight="1" outlineLevel="1" x14ac:dyDescent="0.2">
      <c r="A70" s="5" t="s">
        <v>96</v>
      </c>
      <c r="B70" s="5" t="s">
        <v>97</v>
      </c>
      <c r="C70" s="5" t="s">
        <v>102</v>
      </c>
      <c r="D70" s="5" t="s">
        <v>12</v>
      </c>
      <c r="E70" s="5" t="s">
        <v>13</v>
      </c>
      <c r="F70" s="5" t="s">
        <v>16</v>
      </c>
      <c r="G70" s="6">
        <v>25200</v>
      </c>
      <c r="H70" s="70" t="str">
        <f>HYPERLINK("https://adv-map.ru/place/?LINK=ba5819737049005fb34523a5b4bf60a0","Ссылка")</f>
        <v>Ссылка</v>
      </c>
      <c r="I70" s="5" t="s">
        <v>103</v>
      </c>
    </row>
    <row r="71" spans="1:9" s="4" customFormat="1" ht="38.1" customHeight="1" outlineLevel="1" x14ac:dyDescent="0.2">
      <c r="A71" s="5" t="s">
        <v>96</v>
      </c>
      <c r="B71" s="5" t="s">
        <v>97</v>
      </c>
      <c r="C71" s="5" t="s">
        <v>104</v>
      </c>
      <c r="D71" s="5" t="s">
        <v>12</v>
      </c>
      <c r="E71" s="5" t="s">
        <v>13</v>
      </c>
      <c r="F71" s="5" t="s">
        <v>14</v>
      </c>
      <c r="G71" s="6">
        <v>25200</v>
      </c>
      <c r="H71" s="71" t="str">
        <f>HYPERLINK("https://adv-map.ru/place/?LINK=125872446cfa869d5735c7816e0e015a","Ссылка")</f>
        <v>Ссылка</v>
      </c>
      <c r="I71" s="5" t="s">
        <v>105</v>
      </c>
    </row>
    <row r="72" spans="1:9" s="4" customFormat="1" ht="38.1" customHeight="1" outlineLevel="1" x14ac:dyDescent="0.2">
      <c r="A72" s="5" t="s">
        <v>96</v>
      </c>
      <c r="B72" s="5" t="s">
        <v>97</v>
      </c>
      <c r="C72" s="5" t="s">
        <v>106</v>
      </c>
      <c r="D72" s="5" t="s">
        <v>12</v>
      </c>
      <c r="E72" s="5" t="s">
        <v>13</v>
      </c>
      <c r="F72" s="5" t="s">
        <v>16</v>
      </c>
      <c r="G72" s="6">
        <v>22680</v>
      </c>
      <c r="H72" s="72" t="str">
        <f>HYPERLINK("https://adv-map.ru/place/?LINK=893cce6b966d992e0d28b774d97ca22a","Ссылка")</f>
        <v>Ссылка</v>
      </c>
      <c r="I72" s="5" t="s">
        <v>105</v>
      </c>
    </row>
    <row r="73" spans="1:9" s="4" customFormat="1" ht="38.1" customHeight="1" outlineLevel="1" x14ac:dyDescent="0.2">
      <c r="A73" s="5" t="s">
        <v>96</v>
      </c>
      <c r="B73" s="5" t="s">
        <v>97</v>
      </c>
      <c r="C73" s="5" t="s">
        <v>107</v>
      </c>
      <c r="D73" s="5" t="s">
        <v>12</v>
      </c>
      <c r="E73" s="5" t="s">
        <v>13</v>
      </c>
      <c r="F73" s="5" t="s">
        <v>16</v>
      </c>
      <c r="G73" s="6">
        <v>22680</v>
      </c>
      <c r="H73" s="73" t="str">
        <f>HYPERLINK("https://adv-map.ru/place/?LINK=d986a6ac8668c7d2e9bb878be11d4eb6","Ссылка")</f>
        <v>Ссылка</v>
      </c>
      <c r="I73" s="5" t="s">
        <v>108</v>
      </c>
    </row>
    <row r="74" spans="1:9" s="4" customFormat="1" ht="38.1" customHeight="1" outlineLevel="1" x14ac:dyDescent="0.2">
      <c r="A74" s="5" t="s">
        <v>96</v>
      </c>
      <c r="B74" s="5" t="s">
        <v>97</v>
      </c>
      <c r="C74" s="5" t="s">
        <v>109</v>
      </c>
      <c r="D74" s="5" t="s">
        <v>12</v>
      </c>
      <c r="E74" s="5" t="s">
        <v>13</v>
      </c>
      <c r="F74" s="5" t="s">
        <v>14</v>
      </c>
      <c r="G74" s="6">
        <v>25200</v>
      </c>
      <c r="H74" s="74" t="str">
        <f>HYPERLINK("https://adv-map.ru/place/?LINK=6a42581deef5333bf1e06cc964aa9313","Ссылка")</f>
        <v>Ссылка</v>
      </c>
      <c r="I74" s="5" t="s">
        <v>108</v>
      </c>
    </row>
    <row r="75" spans="1:9" s="4" customFormat="1" ht="38.1" customHeight="1" outlineLevel="1" x14ac:dyDescent="0.2">
      <c r="A75" s="5" t="s">
        <v>96</v>
      </c>
      <c r="B75" s="5" t="s">
        <v>97</v>
      </c>
      <c r="C75" s="5" t="s">
        <v>110</v>
      </c>
      <c r="D75" s="5" t="s">
        <v>12</v>
      </c>
      <c r="E75" s="5" t="s">
        <v>13</v>
      </c>
      <c r="F75" s="5" t="s">
        <v>14</v>
      </c>
      <c r="G75" s="6">
        <v>26250</v>
      </c>
      <c r="H75" s="75" t="str">
        <f>HYPERLINK("https://adv-map.ru/place/?LINK=61c92ab8be4cd12f845582776380da8f","Ссылка")</f>
        <v>Ссылка</v>
      </c>
      <c r="I75" s="5" t="s">
        <v>111</v>
      </c>
    </row>
    <row r="76" spans="1:9" s="4" customFormat="1" ht="38.1" customHeight="1" outlineLevel="1" x14ac:dyDescent="0.2">
      <c r="A76" s="5" t="s">
        <v>96</v>
      </c>
      <c r="B76" s="5" t="s">
        <v>97</v>
      </c>
      <c r="C76" s="5" t="s">
        <v>112</v>
      </c>
      <c r="D76" s="5" t="s">
        <v>12</v>
      </c>
      <c r="E76" s="5" t="s">
        <v>13</v>
      </c>
      <c r="F76" s="5" t="s">
        <v>16</v>
      </c>
      <c r="G76" s="6">
        <v>21000</v>
      </c>
      <c r="H76" s="76" t="str">
        <f>HYPERLINK("https://adv-map.ru/place/?LINK=4c15d253cfcc1b93289f0b1f481854ff","Ссылка")</f>
        <v>Ссылка</v>
      </c>
      <c r="I76" s="5" t="s">
        <v>111</v>
      </c>
    </row>
    <row r="77" spans="1:9" s="4" customFormat="1" ht="38.1" customHeight="1" outlineLevel="1" x14ac:dyDescent="0.2">
      <c r="A77" s="5" t="s">
        <v>96</v>
      </c>
      <c r="B77" s="5" t="s">
        <v>97</v>
      </c>
      <c r="C77" s="5" t="s">
        <v>113</v>
      </c>
      <c r="D77" s="5" t="s">
        <v>12</v>
      </c>
      <c r="E77" s="5" t="s">
        <v>13</v>
      </c>
      <c r="F77" s="5" t="s">
        <v>14</v>
      </c>
      <c r="G77" s="6">
        <v>26250</v>
      </c>
      <c r="H77" s="77" t="str">
        <f>HYPERLINK("https://adv-map.ru/place/?LINK=6f39bfdcdb4222e5a858801bf2c97ba3","Ссылка")</f>
        <v>Ссылка</v>
      </c>
      <c r="I77" s="5" t="s">
        <v>114</v>
      </c>
    </row>
    <row r="78" spans="1:9" s="4" customFormat="1" ht="38.1" customHeight="1" outlineLevel="1" x14ac:dyDescent="0.2">
      <c r="A78" s="5" t="s">
        <v>96</v>
      </c>
      <c r="B78" s="5" t="s">
        <v>97</v>
      </c>
      <c r="C78" s="5" t="s">
        <v>113</v>
      </c>
      <c r="D78" s="5" t="s">
        <v>12</v>
      </c>
      <c r="E78" s="5" t="s">
        <v>13</v>
      </c>
      <c r="F78" s="5" t="s">
        <v>16</v>
      </c>
      <c r="G78" s="6">
        <v>21000</v>
      </c>
      <c r="H78" s="78" t="str">
        <f>HYPERLINK("https://adv-map.ru/place/?LINK=57944cc4f472c7c8a71a3b55f28b0ff2","Ссылка")</f>
        <v>Ссылка</v>
      </c>
      <c r="I78" s="5" t="s">
        <v>114</v>
      </c>
    </row>
    <row r="79" spans="1:9" s="4" customFormat="1" ht="38.1" customHeight="1" outlineLevel="1" x14ac:dyDescent="0.2">
      <c r="A79" s="5" t="s">
        <v>96</v>
      </c>
      <c r="B79" s="5" t="s">
        <v>97</v>
      </c>
      <c r="C79" s="5" t="s">
        <v>115</v>
      </c>
      <c r="D79" s="5" t="s">
        <v>12</v>
      </c>
      <c r="E79" s="5" t="s">
        <v>13</v>
      </c>
      <c r="F79" s="5" t="s">
        <v>14</v>
      </c>
      <c r="G79" s="6">
        <v>26250</v>
      </c>
      <c r="H79" s="79" t="str">
        <f>HYPERLINK("https://adv-map.ru/place/?LINK=5af7393db4437572a072e3f2858739b9","Ссылка")</f>
        <v>Ссылка</v>
      </c>
      <c r="I79" s="5" t="s">
        <v>116</v>
      </c>
    </row>
    <row r="80" spans="1:9" s="4" customFormat="1" ht="38.1" customHeight="1" outlineLevel="1" x14ac:dyDescent="0.2">
      <c r="A80" s="5" t="s">
        <v>96</v>
      </c>
      <c r="B80" s="5" t="s">
        <v>97</v>
      </c>
      <c r="C80" s="5" t="s">
        <v>117</v>
      </c>
      <c r="D80" s="5" t="s">
        <v>12</v>
      </c>
      <c r="E80" s="5" t="s">
        <v>13</v>
      </c>
      <c r="F80" s="5" t="s">
        <v>16</v>
      </c>
      <c r="G80" s="6">
        <v>21000</v>
      </c>
      <c r="H80" s="80" t="str">
        <f>HYPERLINK("https://adv-map.ru/place/?LINK=5ed10345d9d3a1b58a9c55ebf6338e3d","Ссылка")</f>
        <v>Ссылка</v>
      </c>
      <c r="I80" s="5" t="s">
        <v>116</v>
      </c>
    </row>
    <row r="81" spans="1:9" s="4" customFormat="1" ht="38.1" customHeight="1" outlineLevel="1" x14ac:dyDescent="0.2">
      <c r="A81" s="5" t="s">
        <v>96</v>
      </c>
      <c r="B81" s="5" t="s">
        <v>97</v>
      </c>
      <c r="C81" s="5" t="s">
        <v>118</v>
      </c>
      <c r="D81" s="5" t="s">
        <v>12</v>
      </c>
      <c r="E81" s="5" t="s">
        <v>13</v>
      </c>
      <c r="F81" s="5" t="s">
        <v>14</v>
      </c>
      <c r="G81" s="6">
        <v>29400</v>
      </c>
      <c r="H81" s="81" t="str">
        <f>HYPERLINK("https://adv-map.ru/place/?LINK=3f3f16ba7b127f9e8739af1fea950986","Ссылка")</f>
        <v>Ссылка</v>
      </c>
      <c r="I81" s="5" t="s">
        <v>119</v>
      </c>
    </row>
    <row r="82" spans="1:9" s="4" customFormat="1" ht="38.1" customHeight="1" outlineLevel="1" x14ac:dyDescent="0.2">
      <c r="A82" s="5" t="s">
        <v>96</v>
      </c>
      <c r="B82" s="5" t="s">
        <v>97</v>
      </c>
      <c r="C82" s="5" t="s">
        <v>118</v>
      </c>
      <c r="D82" s="5" t="s">
        <v>12</v>
      </c>
      <c r="E82" s="5" t="s">
        <v>13</v>
      </c>
      <c r="F82" s="5" t="s">
        <v>16</v>
      </c>
      <c r="G82" s="6">
        <v>23100</v>
      </c>
      <c r="H82" s="82" t="str">
        <f>HYPERLINK("https://adv-map.ru/place/?LINK=79bfaf704f3ca4bd83469cd2462082fc","Ссылка")</f>
        <v>Ссылка</v>
      </c>
      <c r="I82" s="5" t="s">
        <v>119</v>
      </c>
    </row>
    <row r="83" spans="1:9" s="4" customFormat="1" ht="38.1" customHeight="1" outlineLevel="1" x14ac:dyDescent="0.2">
      <c r="A83" s="5" t="s">
        <v>96</v>
      </c>
      <c r="B83" s="5" t="s">
        <v>97</v>
      </c>
      <c r="C83" s="5" t="s">
        <v>120</v>
      </c>
      <c r="D83" s="5" t="s">
        <v>12</v>
      </c>
      <c r="E83" s="5" t="s">
        <v>13</v>
      </c>
      <c r="F83" s="5" t="s">
        <v>14</v>
      </c>
      <c r="G83" s="6">
        <v>26250</v>
      </c>
      <c r="H83" s="83" t="str">
        <f>HYPERLINK("https://adv-map.ru/place/?LINK=c09620385100e1f672f3f71f037e2c09","Ссылка")</f>
        <v>Ссылка</v>
      </c>
      <c r="I83" s="5" t="s">
        <v>121</v>
      </c>
    </row>
    <row r="84" spans="1:9" s="4" customFormat="1" ht="38.1" customHeight="1" outlineLevel="1" x14ac:dyDescent="0.2">
      <c r="A84" s="5" t="s">
        <v>96</v>
      </c>
      <c r="B84" s="5" t="s">
        <v>97</v>
      </c>
      <c r="C84" s="5" t="s">
        <v>122</v>
      </c>
      <c r="D84" s="5" t="s">
        <v>12</v>
      </c>
      <c r="E84" s="5" t="s">
        <v>13</v>
      </c>
      <c r="F84" s="5" t="s">
        <v>16</v>
      </c>
      <c r="G84" s="6">
        <v>21000</v>
      </c>
      <c r="H84" s="84" t="str">
        <f>HYPERLINK("https://adv-map.ru/place/?LINK=9055930021548cf1991af436b76eed90","Ссылка")</f>
        <v>Ссылка</v>
      </c>
      <c r="I84" s="5" t="s">
        <v>121</v>
      </c>
    </row>
    <row r="85" spans="1:9" s="4" customFormat="1" ht="38.1" customHeight="1" outlineLevel="1" x14ac:dyDescent="0.2">
      <c r="A85" s="5" t="s">
        <v>96</v>
      </c>
      <c r="B85" s="5" t="s">
        <v>97</v>
      </c>
      <c r="C85" s="5" t="s">
        <v>123</v>
      </c>
      <c r="D85" s="5" t="s">
        <v>12</v>
      </c>
      <c r="E85" s="5" t="s">
        <v>13</v>
      </c>
      <c r="F85" s="5" t="s">
        <v>14</v>
      </c>
      <c r="G85" s="6">
        <v>31500</v>
      </c>
      <c r="H85" s="85" t="str">
        <f>HYPERLINK("https://adv-map.ru/place/?LINK=291012c93c87c51df06cad2153369b52","Ссылка")</f>
        <v>Ссылка</v>
      </c>
      <c r="I85" s="5" t="s">
        <v>124</v>
      </c>
    </row>
    <row r="86" spans="1:9" s="4" customFormat="1" ht="38.1" customHeight="1" outlineLevel="1" x14ac:dyDescent="0.2">
      <c r="A86" s="5" t="s">
        <v>96</v>
      </c>
      <c r="B86" s="5" t="s">
        <v>97</v>
      </c>
      <c r="C86" s="5" t="s">
        <v>123</v>
      </c>
      <c r="D86" s="5" t="s">
        <v>12</v>
      </c>
      <c r="E86" s="5" t="s">
        <v>13</v>
      </c>
      <c r="F86" s="5" t="s">
        <v>16</v>
      </c>
      <c r="G86" s="6">
        <v>25200</v>
      </c>
      <c r="H86" s="86" t="str">
        <f>HYPERLINK("https://adv-map.ru/place/?LINK=c6c48f4766a29d2990088eb59659ecb6","Ссылка")</f>
        <v>Ссылка</v>
      </c>
      <c r="I86" s="5" t="s">
        <v>124</v>
      </c>
    </row>
    <row r="87" spans="1:9" s="1" customFormat="1" ht="14.1" customHeight="1" x14ac:dyDescent="0.15">
      <c r="A87" s="2" t="s">
        <v>125</v>
      </c>
      <c r="B87" s="3"/>
      <c r="C87" s="3"/>
      <c r="D87" s="3"/>
      <c r="E87" s="3"/>
      <c r="F87" s="3"/>
      <c r="G87" s="3"/>
      <c r="H87" s="3"/>
      <c r="I87" s="3"/>
    </row>
    <row r="88" spans="1:9" s="4" customFormat="1" ht="38.1" customHeight="1" outlineLevel="1" x14ac:dyDescent="0.2">
      <c r="A88" s="5" t="s">
        <v>125</v>
      </c>
      <c r="B88" s="5" t="s">
        <v>126</v>
      </c>
      <c r="C88" s="5" t="s">
        <v>127</v>
      </c>
      <c r="D88" s="5" t="s">
        <v>12</v>
      </c>
      <c r="E88" s="5" t="s">
        <v>13</v>
      </c>
      <c r="F88" s="5" t="s">
        <v>14</v>
      </c>
      <c r="G88" s="6">
        <v>27720</v>
      </c>
      <c r="H88" s="87" t="str">
        <f>HYPERLINK("https://adv-map.ru/place/?LINK=e55a7f9486675f30e5bcd957c72a55b8","Ссылка")</f>
        <v>Ссылка</v>
      </c>
      <c r="I88" s="5" t="s">
        <v>128</v>
      </c>
    </row>
    <row r="89" spans="1:9" s="4" customFormat="1" ht="38.1" customHeight="1" outlineLevel="1" x14ac:dyDescent="0.2">
      <c r="A89" s="5" t="s">
        <v>125</v>
      </c>
      <c r="B89" s="5" t="s">
        <v>126</v>
      </c>
      <c r="C89" s="5" t="s">
        <v>127</v>
      </c>
      <c r="D89" s="5" t="s">
        <v>12</v>
      </c>
      <c r="E89" s="5" t="s">
        <v>13</v>
      </c>
      <c r="F89" s="5" t="s">
        <v>16</v>
      </c>
      <c r="G89" s="6">
        <v>25200</v>
      </c>
      <c r="H89" s="88" t="str">
        <f>HYPERLINK("https://adv-map.ru/place/?LINK=8e308faaac72a928889b77ba1ec88f9c","Ссылка")</f>
        <v>Ссылка</v>
      </c>
      <c r="I89" s="5" t="s">
        <v>129</v>
      </c>
    </row>
    <row r="90" spans="1:9" s="4" customFormat="1" ht="38.1" customHeight="1" outlineLevel="1" x14ac:dyDescent="0.2">
      <c r="A90" s="5" t="s">
        <v>125</v>
      </c>
      <c r="B90" s="5" t="s">
        <v>126</v>
      </c>
      <c r="C90" s="5" t="s">
        <v>130</v>
      </c>
      <c r="D90" s="5" t="s">
        <v>12</v>
      </c>
      <c r="E90" s="5" t="s">
        <v>13</v>
      </c>
      <c r="F90" s="5" t="s">
        <v>14</v>
      </c>
      <c r="G90" s="6">
        <v>27720</v>
      </c>
      <c r="H90" s="89" t="str">
        <f>HYPERLINK("https://adv-map.ru/place/?LINK=88ab2a15c2bf6863cae947f438d67214","Ссылка")</f>
        <v>Ссылка</v>
      </c>
      <c r="I90" s="5" t="s">
        <v>131</v>
      </c>
    </row>
    <row r="91" spans="1:9" s="4" customFormat="1" ht="38.1" customHeight="1" outlineLevel="1" x14ac:dyDescent="0.2">
      <c r="A91" s="5" t="s">
        <v>125</v>
      </c>
      <c r="B91" s="5" t="s">
        <v>126</v>
      </c>
      <c r="C91" s="5" t="s">
        <v>130</v>
      </c>
      <c r="D91" s="5" t="s">
        <v>12</v>
      </c>
      <c r="E91" s="5" t="s">
        <v>13</v>
      </c>
      <c r="F91" s="5" t="s">
        <v>16</v>
      </c>
      <c r="G91" s="6">
        <v>25200</v>
      </c>
      <c r="H91" s="90" t="str">
        <f>HYPERLINK("https://adv-map.ru/place/?LINK=ac65084ef21ebd3adc0cced4af3ffcc1","Ссылка")</f>
        <v>Ссылка</v>
      </c>
      <c r="I91" s="5" t="s">
        <v>131</v>
      </c>
    </row>
    <row r="92" spans="1:9" s="4" customFormat="1" ht="38.1" customHeight="1" outlineLevel="1" x14ac:dyDescent="0.2">
      <c r="A92" s="5" t="s">
        <v>125</v>
      </c>
      <c r="B92" s="5" t="s">
        <v>126</v>
      </c>
      <c r="C92" s="5" t="s">
        <v>132</v>
      </c>
      <c r="D92" s="5" t="s">
        <v>12</v>
      </c>
      <c r="E92" s="5" t="s">
        <v>13</v>
      </c>
      <c r="F92" s="5" t="s">
        <v>14</v>
      </c>
      <c r="G92" s="6">
        <v>27720</v>
      </c>
      <c r="H92" s="91" t="str">
        <f>HYPERLINK("https://adv-map.ru/place/?LINK=84b7d6353d85a3c2b654afdb4a04540d","Ссылка")</f>
        <v>Ссылка</v>
      </c>
      <c r="I92" s="5" t="s">
        <v>133</v>
      </c>
    </row>
    <row r="93" spans="1:9" s="4" customFormat="1" ht="38.1" customHeight="1" outlineLevel="1" x14ac:dyDescent="0.2">
      <c r="A93" s="5" t="s">
        <v>125</v>
      </c>
      <c r="B93" s="5" t="s">
        <v>126</v>
      </c>
      <c r="C93" s="5" t="s">
        <v>132</v>
      </c>
      <c r="D93" s="5" t="s">
        <v>12</v>
      </c>
      <c r="E93" s="5" t="s">
        <v>13</v>
      </c>
      <c r="F93" s="5" t="s">
        <v>16</v>
      </c>
      <c r="G93" s="6">
        <v>25200</v>
      </c>
      <c r="H93" s="92" t="str">
        <f>HYPERLINK("https://adv-map.ru/place/?LINK=6d3f41d6005ca7c1c2cea5f4c095ed84","Ссылка")</f>
        <v>Ссылка</v>
      </c>
      <c r="I93" s="5" t="s">
        <v>133</v>
      </c>
    </row>
    <row r="94" spans="1:9" s="4" customFormat="1" ht="38.1" customHeight="1" outlineLevel="1" x14ac:dyDescent="0.2">
      <c r="A94" s="5" t="s">
        <v>125</v>
      </c>
      <c r="B94" s="5" t="s">
        <v>134</v>
      </c>
      <c r="C94" s="5" t="s">
        <v>135</v>
      </c>
      <c r="D94" s="5" t="s">
        <v>12</v>
      </c>
      <c r="E94" s="5" t="s">
        <v>13</v>
      </c>
      <c r="F94" s="5" t="s">
        <v>14</v>
      </c>
      <c r="G94" s="6">
        <v>27720</v>
      </c>
      <c r="H94" s="93" t="str">
        <f>HYPERLINK("https://adv-map.ru/place/?LINK=341dfe3a5282d4890568b2dbfe56f398","Ссылка")</f>
        <v>Ссылка</v>
      </c>
      <c r="I94" s="5" t="s">
        <v>136</v>
      </c>
    </row>
    <row r="95" spans="1:9" s="4" customFormat="1" ht="38.1" customHeight="1" outlineLevel="1" x14ac:dyDescent="0.2">
      <c r="A95" s="5" t="s">
        <v>125</v>
      </c>
      <c r="B95" s="5" t="s">
        <v>134</v>
      </c>
      <c r="C95" s="5" t="s">
        <v>135</v>
      </c>
      <c r="D95" s="5" t="s">
        <v>12</v>
      </c>
      <c r="E95" s="5" t="s">
        <v>13</v>
      </c>
      <c r="F95" s="5" t="s">
        <v>16</v>
      </c>
      <c r="G95" s="6">
        <v>25200</v>
      </c>
      <c r="H95" s="94" t="str">
        <f>HYPERLINK("https://adv-map.ru/place/?LINK=dceac9d6f7bf2cbfe1208de60af62278","Ссылка")</f>
        <v>Ссылка</v>
      </c>
      <c r="I95" s="5" t="s">
        <v>136</v>
      </c>
    </row>
    <row r="96" spans="1:9" s="4" customFormat="1" ht="38.1" customHeight="1" outlineLevel="1" x14ac:dyDescent="0.2">
      <c r="A96" s="5" t="s">
        <v>125</v>
      </c>
      <c r="B96" s="5" t="s">
        <v>137</v>
      </c>
      <c r="C96" s="5" t="s">
        <v>138</v>
      </c>
      <c r="D96" s="5" t="s">
        <v>12</v>
      </c>
      <c r="E96" s="5" t="s">
        <v>13</v>
      </c>
      <c r="F96" s="5" t="s">
        <v>14</v>
      </c>
      <c r="G96" s="6">
        <v>25200</v>
      </c>
      <c r="H96" s="95" t="str">
        <f>HYPERLINK("https://adv-map.ru/place/?LINK=fe1fdd7703b9c4a986c59124a5b93b9e","Ссылка")</f>
        <v>Ссылка</v>
      </c>
      <c r="I96" s="5" t="s">
        <v>139</v>
      </c>
    </row>
    <row r="97" spans="1:9" s="4" customFormat="1" ht="38.1" customHeight="1" outlineLevel="1" x14ac:dyDescent="0.2">
      <c r="A97" s="5" t="s">
        <v>125</v>
      </c>
      <c r="B97" s="5" t="s">
        <v>137</v>
      </c>
      <c r="C97" s="5" t="s">
        <v>138</v>
      </c>
      <c r="D97" s="5" t="s">
        <v>12</v>
      </c>
      <c r="E97" s="5" t="s">
        <v>13</v>
      </c>
      <c r="F97" s="5" t="s">
        <v>16</v>
      </c>
      <c r="G97" s="6">
        <v>20160</v>
      </c>
      <c r="H97" s="96" t="str">
        <f>HYPERLINK("https://adv-map.ru/place/?LINK=8fbc9ca3e1e455a0ccb39132f1899ea0","Ссылка")</f>
        <v>Ссылка</v>
      </c>
      <c r="I97" s="5" t="s">
        <v>139</v>
      </c>
    </row>
    <row r="98" spans="1:9" s="4" customFormat="1" ht="38.1" customHeight="1" outlineLevel="1" x14ac:dyDescent="0.2">
      <c r="A98" s="5" t="s">
        <v>125</v>
      </c>
      <c r="B98" s="5" t="s">
        <v>134</v>
      </c>
      <c r="C98" s="5" t="s">
        <v>140</v>
      </c>
      <c r="D98" s="5" t="s">
        <v>12</v>
      </c>
      <c r="E98" s="5" t="s">
        <v>13</v>
      </c>
      <c r="F98" s="5" t="s">
        <v>14</v>
      </c>
      <c r="G98" s="6">
        <v>27720</v>
      </c>
      <c r="H98" s="97" t="str">
        <f>HYPERLINK("https://adv-map.ru/place/?LINK=f95dde6a9e36914d5ce6198f22fca742","Ссылка")</f>
        <v>Ссылка</v>
      </c>
      <c r="I98" s="5" t="s">
        <v>141</v>
      </c>
    </row>
    <row r="99" spans="1:9" s="4" customFormat="1" ht="38.1" customHeight="1" outlineLevel="1" x14ac:dyDescent="0.2">
      <c r="A99" s="5" t="s">
        <v>125</v>
      </c>
      <c r="B99" s="5" t="s">
        <v>134</v>
      </c>
      <c r="C99" s="5" t="s">
        <v>140</v>
      </c>
      <c r="D99" s="5" t="s">
        <v>12</v>
      </c>
      <c r="E99" s="5" t="s">
        <v>13</v>
      </c>
      <c r="F99" s="5" t="s">
        <v>16</v>
      </c>
      <c r="G99" s="6">
        <v>25200</v>
      </c>
      <c r="H99" s="98" t="str">
        <f>HYPERLINK("https://adv-map.ru/place/?LINK=8ea42c8fdd1479eb1bcba801aee8419d","Ссылка")</f>
        <v>Ссылка</v>
      </c>
      <c r="I99" s="5" t="s">
        <v>141</v>
      </c>
    </row>
    <row r="100" spans="1:9" s="4" customFormat="1" ht="38.1" customHeight="1" outlineLevel="1" x14ac:dyDescent="0.2">
      <c r="A100" s="5" t="s">
        <v>125</v>
      </c>
      <c r="B100" s="5" t="s">
        <v>134</v>
      </c>
      <c r="C100" s="5" t="s">
        <v>142</v>
      </c>
      <c r="D100" s="5" t="s">
        <v>12</v>
      </c>
      <c r="E100" s="5" t="s">
        <v>13</v>
      </c>
      <c r="F100" s="5" t="s">
        <v>14</v>
      </c>
      <c r="G100" s="6">
        <v>27720</v>
      </c>
      <c r="H100" s="99" t="str">
        <f>HYPERLINK("https://adv-map.ru/place/?LINK=0e6a3bf3979de501f78ec9ecea6d03dd","Ссылка")</f>
        <v>Ссылка</v>
      </c>
      <c r="I100" s="5" t="s">
        <v>143</v>
      </c>
    </row>
    <row r="101" spans="1:9" s="4" customFormat="1" ht="38.1" customHeight="1" outlineLevel="1" x14ac:dyDescent="0.2">
      <c r="A101" s="5" t="s">
        <v>125</v>
      </c>
      <c r="B101" s="5" t="s">
        <v>134</v>
      </c>
      <c r="C101" s="5" t="s">
        <v>142</v>
      </c>
      <c r="D101" s="5" t="s">
        <v>12</v>
      </c>
      <c r="E101" s="5" t="s">
        <v>13</v>
      </c>
      <c r="F101" s="5" t="s">
        <v>16</v>
      </c>
      <c r="G101" s="6">
        <v>25200</v>
      </c>
      <c r="H101" s="100" t="str">
        <f>HYPERLINK("https://adv-map.ru/place/?LINK=e347dfa32a2fbe04f55b86900a1dc5c0","Ссылка")</f>
        <v>Ссылка</v>
      </c>
      <c r="I101" s="5" t="s">
        <v>143</v>
      </c>
    </row>
    <row r="102" spans="1:9" s="4" customFormat="1" ht="38.1" customHeight="1" outlineLevel="1" x14ac:dyDescent="0.2">
      <c r="A102" s="5" t="s">
        <v>125</v>
      </c>
      <c r="B102" s="5" t="s">
        <v>126</v>
      </c>
      <c r="C102" s="5" t="s">
        <v>144</v>
      </c>
      <c r="D102" s="5" t="s">
        <v>12</v>
      </c>
      <c r="E102" s="5" t="s">
        <v>13</v>
      </c>
      <c r="F102" s="5" t="s">
        <v>14</v>
      </c>
      <c r="G102" s="6">
        <v>27720</v>
      </c>
      <c r="H102" s="101" t="str">
        <f>HYPERLINK("https://adv-map.ru/place/?LINK=1daffc88b92f225a537976c3bd3ecd5b","Ссылка")</f>
        <v>Ссылка</v>
      </c>
      <c r="I102" s="5" t="s">
        <v>145</v>
      </c>
    </row>
    <row r="103" spans="1:9" s="4" customFormat="1" ht="38.1" customHeight="1" outlineLevel="1" x14ac:dyDescent="0.2">
      <c r="A103" s="5" t="s">
        <v>125</v>
      </c>
      <c r="B103" s="5" t="s">
        <v>126</v>
      </c>
      <c r="C103" s="5" t="s">
        <v>144</v>
      </c>
      <c r="D103" s="5" t="s">
        <v>12</v>
      </c>
      <c r="E103" s="5" t="s">
        <v>13</v>
      </c>
      <c r="F103" s="5" t="s">
        <v>16</v>
      </c>
      <c r="G103" s="6">
        <v>25200</v>
      </c>
      <c r="H103" s="102" t="str">
        <f>HYPERLINK("https://adv-map.ru/place/?LINK=fb64d81101086fffe5938dbcc29bd799","Ссылка")</f>
        <v>Ссылка</v>
      </c>
      <c r="I103" s="5" t="s">
        <v>145</v>
      </c>
    </row>
    <row r="104" spans="1:9" s="4" customFormat="1" ht="38.1" customHeight="1" outlineLevel="1" x14ac:dyDescent="0.2">
      <c r="A104" s="5" t="s">
        <v>125</v>
      </c>
      <c r="B104" s="5" t="s">
        <v>126</v>
      </c>
      <c r="C104" s="5" t="s">
        <v>146</v>
      </c>
      <c r="D104" s="5" t="s">
        <v>12</v>
      </c>
      <c r="E104" s="5" t="s">
        <v>13</v>
      </c>
      <c r="F104" s="5" t="s">
        <v>14</v>
      </c>
      <c r="G104" s="6">
        <v>27720</v>
      </c>
      <c r="H104" s="103" t="str">
        <f>HYPERLINK("https://adv-map.ru/place/?LINK=2df2898adf5dbcd74f460457ac5a01ee","Ссылка")</f>
        <v>Ссылка</v>
      </c>
      <c r="I104" s="5" t="s">
        <v>147</v>
      </c>
    </row>
    <row r="105" spans="1:9" s="4" customFormat="1" ht="38.1" customHeight="1" outlineLevel="1" x14ac:dyDescent="0.2">
      <c r="A105" s="5" t="s">
        <v>125</v>
      </c>
      <c r="B105" s="5" t="s">
        <v>126</v>
      </c>
      <c r="C105" s="5" t="s">
        <v>146</v>
      </c>
      <c r="D105" s="5" t="s">
        <v>12</v>
      </c>
      <c r="E105" s="5" t="s">
        <v>13</v>
      </c>
      <c r="F105" s="5" t="s">
        <v>16</v>
      </c>
      <c r="G105" s="6">
        <v>25200</v>
      </c>
      <c r="H105" s="104" t="str">
        <f>HYPERLINK("https://adv-map.ru/place/?LINK=70f81e8c0e0d63baec18cfd2c9818e44","Ссылка")</f>
        <v>Ссылка</v>
      </c>
      <c r="I105" s="5" t="s">
        <v>147</v>
      </c>
    </row>
    <row r="106" spans="1:9" s="4" customFormat="1" ht="38.1" customHeight="1" outlineLevel="1" x14ac:dyDescent="0.2">
      <c r="A106" s="5" t="s">
        <v>125</v>
      </c>
      <c r="B106" s="5" t="s">
        <v>126</v>
      </c>
      <c r="C106" s="5" t="s">
        <v>148</v>
      </c>
      <c r="D106" s="5" t="s">
        <v>12</v>
      </c>
      <c r="E106" s="5" t="s">
        <v>13</v>
      </c>
      <c r="F106" s="5" t="s">
        <v>14</v>
      </c>
      <c r="G106" s="6">
        <v>27720</v>
      </c>
      <c r="H106" s="105" t="str">
        <f>HYPERLINK("https://adv-map.ru/place/?LINK=2063cb72b5b63d049b9ca3bdef06c0a7","Ссылка")</f>
        <v>Ссылка</v>
      </c>
      <c r="I106" s="5" t="s">
        <v>149</v>
      </c>
    </row>
    <row r="107" spans="1:9" s="4" customFormat="1" ht="38.1" customHeight="1" outlineLevel="1" x14ac:dyDescent="0.2">
      <c r="A107" s="5" t="s">
        <v>125</v>
      </c>
      <c r="B107" s="5" t="s">
        <v>126</v>
      </c>
      <c r="C107" s="5" t="s">
        <v>148</v>
      </c>
      <c r="D107" s="5" t="s">
        <v>12</v>
      </c>
      <c r="E107" s="5" t="s">
        <v>13</v>
      </c>
      <c r="F107" s="5" t="s">
        <v>16</v>
      </c>
      <c r="G107" s="6">
        <v>25200</v>
      </c>
      <c r="H107" s="106" t="str">
        <f>HYPERLINK("https://adv-map.ru/place/?LINK=06fcdb83887357cd3bd84a67ca443233","Ссылка")</f>
        <v>Ссылка</v>
      </c>
      <c r="I107" s="5" t="s">
        <v>149</v>
      </c>
    </row>
    <row r="108" spans="1:9" s="4" customFormat="1" ht="38.1" customHeight="1" outlineLevel="1" x14ac:dyDescent="0.2">
      <c r="A108" s="5" t="s">
        <v>125</v>
      </c>
      <c r="B108" s="5" t="s">
        <v>134</v>
      </c>
      <c r="C108" s="5" t="s">
        <v>150</v>
      </c>
      <c r="D108" s="5" t="s">
        <v>12</v>
      </c>
      <c r="E108" s="5" t="s">
        <v>13</v>
      </c>
      <c r="F108" s="5" t="s">
        <v>14</v>
      </c>
      <c r="G108" s="6">
        <v>27720</v>
      </c>
      <c r="H108" s="107" t="str">
        <f>HYPERLINK("https://adv-map.ru/place/?LINK=a53911afa6db79bd38712b2870b2c583","Ссылка")</f>
        <v>Ссылка</v>
      </c>
      <c r="I108" s="5" t="s">
        <v>151</v>
      </c>
    </row>
    <row r="109" spans="1:9" s="4" customFormat="1" ht="38.1" customHeight="1" outlineLevel="1" x14ac:dyDescent="0.2">
      <c r="A109" s="5" t="s">
        <v>125</v>
      </c>
      <c r="B109" s="5" t="s">
        <v>134</v>
      </c>
      <c r="C109" s="5" t="s">
        <v>150</v>
      </c>
      <c r="D109" s="5" t="s">
        <v>12</v>
      </c>
      <c r="E109" s="5" t="s">
        <v>13</v>
      </c>
      <c r="F109" s="5" t="s">
        <v>16</v>
      </c>
      <c r="G109" s="6">
        <v>25200</v>
      </c>
      <c r="H109" s="108" t="str">
        <f>HYPERLINK("https://adv-map.ru/place/?LINK=2f3003d907afb0a7a336bee7f3ec423b","Ссылка")</f>
        <v>Ссылка</v>
      </c>
      <c r="I109" s="5" t="s">
        <v>151</v>
      </c>
    </row>
    <row r="110" spans="1:9" s="1" customFormat="1" ht="14.1" customHeight="1" x14ac:dyDescent="0.15">
      <c r="A110" s="2" t="s">
        <v>152</v>
      </c>
      <c r="B110" s="3"/>
      <c r="C110" s="3"/>
      <c r="D110" s="3"/>
      <c r="E110" s="3"/>
      <c r="F110" s="3"/>
      <c r="G110" s="3"/>
      <c r="H110" s="3"/>
      <c r="I110" s="3"/>
    </row>
    <row r="111" spans="1:9" s="4" customFormat="1" ht="38.1" customHeight="1" outlineLevel="1" x14ac:dyDescent="0.2">
      <c r="A111" s="5" t="s">
        <v>152</v>
      </c>
      <c r="B111" s="5" t="s">
        <v>153</v>
      </c>
      <c r="C111" s="5" t="s">
        <v>154</v>
      </c>
      <c r="D111" s="5" t="s">
        <v>12</v>
      </c>
      <c r="E111" s="5" t="s">
        <v>13</v>
      </c>
      <c r="F111" s="5" t="s">
        <v>14</v>
      </c>
      <c r="G111" s="6">
        <v>27720</v>
      </c>
      <c r="H111" s="109" t="str">
        <f>HYPERLINK("https://adv-map.ru/place/?LINK=96ecc234ade974d088dcf79ea6d5fb37","Ссылка")</f>
        <v>Ссылка</v>
      </c>
      <c r="I111" s="5" t="s">
        <v>155</v>
      </c>
    </row>
    <row r="112" spans="1:9" s="4" customFormat="1" ht="51" customHeight="1" outlineLevel="1" x14ac:dyDescent="0.2">
      <c r="A112" s="5" t="s">
        <v>152</v>
      </c>
      <c r="B112" s="5" t="s">
        <v>153</v>
      </c>
      <c r="C112" s="5" t="s">
        <v>154</v>
      </c>
      <c r="D112" s="5" t="s">
        <v>12</v>
      </c>
      <c r="E112" s="5" t="s">
        <v>13</v>
      </c>
      <c r="F112" s="5" t="s">
        <v>16</v>
      </c>
      <c r="G112" s="6">
        <v>25200</v>
      </c>
      <c r="H112" s="110" t="str">
        <f>HYPERLINK("https://adv-map.ru/place/?LINK=15af4367822356738d79eada1a0edd50","Ссылка")</f>
        <v>Ссылка</v>
      </c>
      <c r="I112" s="5" t="s">
        <v>155</v>
      </c>
    </row>
    <row r="113" spans="1:9" s="4" customFormat="1" ht="38.1" customHeight="1" outlineLevel="1" x14ac:dyDescent="0.2">
      <c r="A113" s="5" t="s">
        <v>152</v>
      </c>
      <c r="B113" s="5" t="s">
        <v>153</v>
      </c>
      <c r="C113" s="5" t="s">
        <v>156</v>
      </c>
      <c r="D113" s="5" t="s">
        <v>12</v>
      </c>
      <c r="E113" s="5" t="s">
        <v>13</v>
      </c>
      <c r="F113" s="5" t="s">
        <v>14</v>
      </c>
      <c r="G113" s="6">
        <v>25000</v>
      </c>
      <c r="H113" s="111" t="str">
        <f>HYPERLINK("https://adv-map.ru/place/?LINK=0f55ef5bd296d8cb2e35519119a2dff0","Ссылка")</f>
        <v>Ссылка</v>
      </c>
      <c r="I113" s="5" t="s">
        <v>157</v>
      </c>
    </row>
    <row r="114" spans="1:9" s="4" customFormat="1" ht="38.1" customHeight="1" outlineLevel="1" x14ac:dyDescent="0.2">
      <c r="A114" s="5" t="s">
        <v>152</v>
      </c>
      <c r="B114" s="5" t="s">
        <v>153</v>
      </c>
      <c r="C114" s="5" t="s">
        <v>156</v>
      </c>
      <c r="D114" s="5" t="s">
        <v>12</v>
      </c>
      <c r="E114" s="5" t="s">
        <v>13</v>
      </c>
      <c r="F114" s="5" t="s">
        <v>16</v>
      </c>
      <c r="G114" s="6">
        <v>22000</v>
      </c>
      <c r="H114" s="112" t="str">
        <f>HYPERLINK("https://adv-map.ru/place/?LINK=0b153b5e81617a0ad9cfe16b213d03e6","Ссылка")</f>
        <v>Ссылка</v>
      </c>
      <c r="I114" s="5" t="s">
        <v>157</v>
      </c>
    </row>
    <row r="115" spans="1:9" s="1" customFormat="1" ht="14.1" customHeight="1" x14ac:dyDescent="0.15">
      <c r="A115" s="2" t="s">
        <v>158</v>
      </c>
      <c r="B115" s="3"/>
      <c r="C115" s="3"/>
      <c r="D115" s="3"/>
      <c r="E115" s="3"/>
      <c r="F115" s="3"/>
      <c r="G115" s="3"/>
      <c r="H115" s="3"/>
      <c r="I115" s="3"/>
    </row>
    <row r="116" spans="1:9" s="4" customFormat="1" ht="38.1" customHeight="1" outlineLevel="1" x14ac:dyDescent="0.2">
      <c r="A116" s="5" t="s">
        <v>158</v>
      </c>
      <c r="B116" s="5" t="s">
        <v>158</v>
      </c>
      <c r="C116" s="5" t="s">
        <v>159</v>
      </c>
      <c r="D116" s="5" t="s">
        <v>12</v>
      </c>
      <c r="E116" s="5" t="s">
        <v>13</v>
      </c>
      <c r="F116" s="5" t="s">
        <v>14</v>
      </c>
      <c r="G116" s="6">
        <v>25200</v>
      </c>
      <c r="H116" s="113" t="str">
        <f>HYPERLINK("https://adv-map.ru/place/?LINK=bf91d249ce6fb7b18b135e38ec9f0c6e","Ссылка")</f>
        <v>Ссылка</v>
      </c>
      <c r="I116" s="5" t="s">
        <v>160</v>
      </c>
    </row>
    <row r="117" spans="1:9" s="4" customFormat="1" ht="38.1" customHeight="1" outlineLevel="1" x14ac:dyDescent="0.2">
      <c r="A117" s="5" t="s">
        <v>158</v>
      </c>
      <c r="B117" s="5" t="s">
        <v>158</v>
      </c>
      <c r="C117" s="5" t="s">
        <v>159</v>
      </c>
      <c r="D117" s="5" t="s">
        <v>12</v>
      </c>
      <c r="E117" s="5" t="s">
        <v>13</v>
      </c>
      <c r="F117" s="5" t="s">
        <v>16</v>
      </c>
      <c r="G117" s="6">
        <v>22680</v>
      </c>
      <c r="H117" s="114" t="str">
        <f>HYPERLINK("https://adv-map.ru/place/?LINK=1b845272719233a79b489a3af7aa0a98","Ссылка")</f>
        <v>Ссылка</v>
      </c>
      <c r="I117" s="5" t="s">
        <v>160</v>
      </c>
    </row>
    <row r="118" spans="1:9" s="4" customFormat="1" ht="38.1" customHeight="1" outlineLevel="1" x14ac:dyDescent="0.2">
      <c r="A118" s="5" t="s">
        <v>158</v>
      </c>
      <c r="B118" s="5" t="s">
        <v>158</v>
      </c>
      <c r="C118" s="5" t="s">
        <v>161</v>
      </c>
      <c r="D118" s="5" t="s">
        <v>12</v>
      </c>
      <c r="E118" s="5" t="s">
        <v>13</v>
      </c>
      <c r="F118" s="5" t="s">
        <v>14</v>
      </c>
      <c r="G118" s="6">
        <v>25200</v>
      </c>
      <c r="H118" s="115" t="str">
        <f>HYPERLINK("https://adv-map.ru/place/?LINK=eae54816e83382c89678896cead92bdc","Ссылка")</f>
        <v>Ссылка</v>
      </c>
      <c r="I118" s="5" t="s">
        <v>162</v>
      </c>
    </row>
    <row r="119" spans="1:9" s="4" customFormat="1" ht="38.1" customHeight="1" outlineLevel="1" x14ac:dyDescent="0.2">
      <c r="A119" s="5" t="s">
        <v>158</v>
      </c>
      <c r="B119" s="5" t="s">
        <v>158</v>
      </c>
      <c r="C119" s="5" t="s">
        <v>161</v>
      </c>
      <c r="D119" s="5" t="s">
        <v>12</v>
      </c>
      <c r="E119" s="5" t="s">
        <v>13</v>
      </c>
      <c r="F119" s="5" t="s">
        <v>16</v>
      </c>
      <c r="G119" s="6">
        <v>22680</v>
      </c>
      <c r="H119" s="116" t="str">
        <f>HYPERLINK("https://adv-map.ru/place/?LINK=0002e34aec96075e5c9226f00bc52183","Ссылка")</f>
        <v>Ссылка</v>
      </c>
      <c r="I119" s="5" t="s">
        <v>162</v>
      </c>
    </row>
    <row r="120" spans="1:9" s="4" customFormat="1" ht="38.1" customHeight="1" outlineLevel="1" x14ac:dyDescent="0.2">
      <c r="A120" s="5" t="s">
        <v>158</v>
      </c>
      <c r="B120" s="5" t="s">
        <v>158</v>
      </c>
      <c r="C120" s="5" t="s">
        <v>163</v>
      </c>
      <c r="D120" s="5" t="s">
        <v>12</v>
      </c>
      <c r="E120" s="5" t="s">
        <v>13</v>
      </c>
      <c r="F120" s="5" t="s">
        <v>14</v>
      </c>
      <c r="G120" s="6">
        <v>25200</v>
      </c>
      <c r="H120" s="117" t="str">
        <f>HYPERLINK("https://adv-map.ru/place/?LINK=a06068fd43d516d6c8d7635e276eb1c0","Ссылка")</f>
        <v>Ссылка</v>
      </c>
      <c r="I120" s="5" t="s">
        <v>164</v>
      </c>
    </row>
    <row r="121" spans="1:9" s="4" customFormat="1" ht="51" customHeight="1" outlineLevel="1" x14ac:dyDescent="0.2">
      <c r="A121" s="5" t="s">
        <v>158</v>
      </c>
      <c r="B121" s="5" t="s">
        <v>158</v>
      </c>
      <c r="C121" s="5" t="s">
        <v>163</v>
      </c>
      <c r="D121" s="5" t="s">
        <v>12</v>
      </c>
      <c r="E121" s="5" t="s">
        <v>13</v>
      </c>
      <c r="F121" s="5" t="s">
        <v>16</v>
      </c>
      <c r="G121" s="6">
        <v>22680</v>
      </c>
      <c r="H121" s="118" t="str">
        <f>HYPERLINK("https://adv-map.ru/place/?LINK=de6d36e54dc0416713b720e627d6b15d","Ссылка")</f>
        <v>Ссылка</v>
      </c>
      <c r="I121" s="5" t="s">
        <v>164</v>
      </c>
    </row>
    <row r="122" spans="1:9" s="4" customFormat="1" ht="38.1" customHeight="1" outlineLevel="1" x14ac:dyDescent="0.2">
      <c r="A122" s="5" t="s">
        <v>158</v>
      </c>
      <c r="B122" s="5" t="s">
        <v>158</v>
      </c>
      <c r="C122" s="5" t="s">
        <v>165</v>
      </c>
      <c r="D122" s="5" t="s">
        <v>12</v>
      </c>
      <c r="E122" s="5" t="s">
        <v>13</v>
      </c>
      <c r="F122" s="5" t="s">
        <v>14</v>
      </c>
      <c r="G122" s="6">
        <v>30240</v>
      </c>
      <c r="H122" s="119" t="str">
        <f>HYPERLINK("https://adv-map.ru/place/?LINK=515c5cf585fcff7428dd3a4144c865f7","Ссылка")</f>
        <v>Ссылка</v>
      </c>
      <c r="I122" s="5" t="s">
        <v>166</v>
      </c>
    </row>
    <row r="123" spans="1:9" s="4" customFormat="1" ht="38.1" customHeight="1" outlineLevel="1" x14ac:dyDescent="0.2">
      <c r="A123" s="5" t="s">
        <v>158</v>
      </c>
      <c r="B123" s="5" t="s">
        <v>158</v>
      </c>
      <c r="C123" s="5" t="s">
        <v>165</v>
      </c>
      <c r="D123" s="5" t="s">
        <v>12</v>
      </c>
      <c r="E123" s="5" t="s">
        <v>13</v>
      </c>
      <c r="F123" s="5" t="s">
        <v>16</v>
      </c>
      <c r="G123" s="6">
        <v>25200</v>
      </c>
      <c r="H123" s="120" t="str">
        <f>HYPERLINK("https://adv-map.ru/place/?LINK=2ddf41363766fc5ae5ad4e97879a7832","Ссылка")</f>
        <v>Ссылка</v>
      </c>
      <c r="I123" s="5" t="s">
        <v>166</v>
      </c>
    </row>
    <row r="124" spans="1:9" s="4" customFormat="1" ht="38.1" customHeight="1" outlineLevel="1" x14ac:dyDescent="0.2">
      <c r="A124" s="5" t="s">
        <v>158</v>
      </c>
      <c r="B124" s="5" t="s">
        <v>158</v>
      </c>
      <c r="C124" s="5" t="s">
        <v>167</v>
      </c>
      <c r="D124" s="5" t="s">
        <v>12</v>
      </c>
      <c r="E124" s="5" t="s">
        <v>13</v>
      </c>
      <c r="F124" s="5" t="s">
        <v>14</v>
      </c>
      <c r="G124" s="6">
        <v>22680</v>
      </c>
      <c r="H124" s="121" t="str">
        <f>HYPERLINK("https://adv-map.ru/place/?LINK=117fa1f31c119fd705cbaa4922a408b7","Ссылка")</f>
        <v>Ссылка</v>
      </c>
      <c r="I124" s="5" t="s">
        <v>168</v>
      </c>
    </row>
    <row r="125" spans="1:9" s="4" customFormat="1" ht="38.1" customHeight="1" outlineLevel="1" x14ac:dyDescent="0.2">
      <c r="A125" s="5" t="s">
        <v>158</v>
      </c>
      <c r="B125" s="5" t="s">
        <v>158</v>
      </c>
      <c r="C125" s="5" t="s">
        <v>167</v>
      </c>
      <c r="D125" s="5" t="s">
        <v>12</v>
      </c>
      <c r="E125" s="5" t="s">
        <v>13</v>
      </c>
      <c r="F125" s="5" t="s">
        <v>16</v>
      </c>
      <c r="G125" s="6">
        <v>20160</v>
      </c>
      <c r="H125" s="122" t="str">
        <f>HYPERLINK("https://adv-map.ru/place/?LINK=41b72be011e74b7f597a6245a42811a6","Ссылка")</f>
        <v>Ссылка</v>
      </c>
      <c r="I125" s="5" t="s">
        <v>168</v>
      </c>
    </row>
    <row r="126" spans="1:9" s="4" customFormat="1" ht="38.1" customHeight="1" outlineLevel="1" x14ac:dyDescent="0.2">
      <c r="A126" s="5" t="s">
        <v>158</v>
      </c>
      <c r="B126" s="5" t="s">
        <v>158</v>
      </c>
      <c r="C126" s="5" t="s">
        <v>169</v>
      </c>
      <c r="D126" s="5" t="s">
        <v>12</v>
      </c>
      <c r="E126" s="5" t="s">
        <v>13</v>
      </c>
      <c r="F126" s="5" t="s">
        <v>14</v>
      </c>
      <c r="G126" s="6">
        <v>22680</v>
      </c>
      <c r="H126" s="123" t="str">
        <f>HYPERLINK("https://adv-map.ru/place/?LINK=d67159853eec74b0ca5d562a1faacc8e","Ссылка")</f>
        <v>Ссылка</v>
      </c>
      <c r="I126" s="5" t="s">
        <v>170</v>
      </c>
    </row>
    <row r="127" spans="1:9" s="4" customFormat="1" ht="38.1" customHeight="1" outlineLevel="1" x14ac:dyDescent="0.2">
      <c r="A127" s="5" t="s">
        <v>158</v>
      </c>
      <c r="B127" s="5" t="s">
        <v>158</v>
      </c>
      <c r="C127" s="5" t="s">
        <v>169</v>
      </c>
      <c r="D127" s="5" t="s">
        <v>12</v>
      </c>
      <c r="E127" s="5" t="s">
        <v>13</v>
      </c>
      <c r="F127" s="5" t="s">
        <v>16</v>
      </c>
      <c r="G127" s="6">
        <v>20160</v>
      </c>
      <c r="H127" s="124" t="str">
        <f>HYPERLINK("https://adv-map.ru/place/?LINK=2a0d78fa338b24d81b1d8d840088e5ce","Ссылка")</f>
        <v>Ссылка</v>
      </c>
      <c r="I127" s="5" t="s">
        <v>170</v>
      </c>
    </row>
    <row r="128" spans="1:9" s="4" customFormat="1" ht="38.1" customHeight="1" outlineLevel="1" x14ac:dyDescent="0.2">
      <c r="A128" s="5" t="s">
        <v>158</v>
      </c>
      <c r="B128" s="5" t="s">
        <v>158</v>
      </c>
      <c r="C128" s="5" t="s">
        <v>171</v>
      </c>
      <c r="D128" s="5" t="s">
        <v>12</v>
      </c>
      <c r="E128" s="5" t="s">
        <v>13</v>
      </c>
      <c r="F128" s="5" t="s">
        <v>14</v>
      </c>
      <c r="G128" s="6">
        <v>22680</v>
      </c>
      <c r="H128" s="125" t="str">
        <f>HYPERLINK("https://adv-map.ru/place/?LINK=0922431f02f1038e67da475236700da6","Ссылка")</f>
        <v>Ссылка</v>
      </c>
      <c r="I128" s="5" t="s">
        <v>172</v>
      </c>
    </row>
    <row r="129" spans="1:9" s="4" customFormat="1" ht="38.1" customHeight="1" outlineLevel="1" x14ac:dyDescent="0.2">
      <c r="A129" s="5" t="s">
        <v>158</v>
      </c>
      <c r="B129" s="5" t="s">
        <v>158</v>
      </c>
      <c r="C129" s="5" t="s">
        <v>171</v>
      </c>
      <c r="D129" s="5" t="s">
        <v>12</v>
      </c>
      <c r="E129" s="5" t="s">
        <v>13</v>
      </c>
      <c r="F129" s="5" t="s">
        <v>16</v>
      </c>
      <c r="G129" s="6">
        <v>20160</v>
      </c>
      <c r="H129" s="126" t="str">
        <f>HYPERLINK("https://adv-map.ru/place/?LINK=ab523f2b57bfa8cb8d4b52ed0caa8e77","Ссылка")</f>
        <v>Ссылка</v>
      </c>
      <c r="I129" s="5" t="s">
        <v>172</v>
      </c>
    </row>
    <row r="130" spans="1:9" s="4" customFormat="1" ht="38.1" customHeight="1" outlineLevel="1" x14ac:dyDescent="0.2">
      <c r="A130" s="5" t="s">
        <v>158</v>
      </c>
      <c r="B130" s="5" t="s">
        <v>158</v>
      </c>
      <c r="C130" s="5" t="s">
        <v>173</v>
      </c>
      <c r="D130" s="5" t="s">
        <v>12</v>
      </c>
      <c r="E130" s="5" t="s">
        <v>13</v>
      </c>
      <c r="F130" s="5" t="s">
        <v>14</v>
      </c>
      <c r="G130" s="6">
        <v>30240</v>
      </c>
      <c r="H130" s="127" t="str">
        <f>HYPERLINK("https://adv-map.ru/place/?LINK=c07d093328f25065a0aea3fde2342b92","Ссылка")</f>
        <v>Ссылка</v>
      </c>
      <c r="I130" s="5" t="s">
        <v>174</v>
      </c>
    </row>
    <row r="131" spans="1:9" s="4" customFormat="1" ht="38.1" customHeight="1" outlineLevel="1" x14ac:dyDescent="0.2">
      <c r="A131" s="5" t="s">
        <v>158</v>
      </c>
      <c r="B131" s="5" t="s">
        <v>158</v>
      </c>
      <c r="C131" s="5" t="s">
        <v>173</v>
      </c>
      <c r="D131" s="5" t="s">
        <v>12</v>
      </c>
      <c r="E131" s="5" t="s">
        <v>13</v>
      </c>
      <c r="F131" s="5" t="s">
        <v>16</v>
      </c>
      <c r="G131" s="6">
        <v>25200</v>
      </c>
      <c r="H131" s="128" t="str">
        <f>HYPERLINK("https://adv-map.ru/place/?LINK=ce9ccbe602a6721269e0b23b0f6267ed","Ссылка")</f>
        <v>Ссылка</v>
      </c>
      <c r="I131" s="5" t="s">
        <v>174</v>
      </c>
    </row>
    <row r="132" spans="1:9" s="4" customFormat="1" ht="38.1" customHeight="1" outlineLevel="1" x14ac:dyDescent="0.2">
      <c r="A132" s="5" t="s">
        <v>158</v>
      </c>
      <c r="B132" s="5" t="s">
        <v>158</v>
      </c>
      <c r="C132" s="5" t="s">
        <v>175</v>
      </c>
      <c r="D132" s="5" t="s">
        <v>12</v>
      </c>
      <c r="E132" s="5" t="s">
        <v>13</v>
      </c>
      <c r="F132" s="5" t="s">
        <v>14</v>
      </c>
      <c r="G132" s="6">
        <v>25200</v>
      </c>
      <c r="H132" s="129" t="str">
        <f>HYPERLINK("https://adv-map.ru/place/?LINK=0ae98aee9e0c4d714d88bc347be2de06","Ссылка")</f>
        <v>Ссылка</v>
      </c>
      <c r="I132" s="5" t="s">
        <v>176</v>
      </c>
    </row>
    <row r="133" spans="1:9" s="4" customFormat="1" ht="38.1" customHeight="1" outlineLevel="1" x14ac:dyDescent="0.2">
      <c r="A133" s="5" t="s">
        <v>158</v>
      </c>
      <c r="B133" s="5" t="s">
        <v>158</v>
      </c>
      <c r="C133" s="5" t="s">
        <v>175</v>
      </c>
      <c r="D133" s="5" t="s">
        <v>12</v>
      </c>
      <c r="E133" s="5" t="s">
        <v>13</v>
      </c>
      <c r="F133" s="5" t="s">
        <v>16</v>
      </c>
      <c r="G133" s="6">
        <v>22680</v>
      </c>
      <c r="H133" s="130" t="str">
        <f>HYPERLINK("https://adv-map.ru/place/?LINK=5e17984c1172dfbc3174e2901dd1d25c","Ссылка")</f>
        <v>Ссылка</v>
      </c>
      <c r="I133" s="5" t="s">
        <v>176</v>
      </c>
    </row>
    <row r="134" spans="1:9" s="4" customFormat="1" ht="38.1" customHeight="1" outlineLevel="1" x14ac:dyDescent="0.2">
      <c r="A134" s="5" t="s">
        <v>158</v>
      </c>
      <c r="B134" s="5" t="s">
        <v>158</v>
      </c>
      <c r="C134" s="5" t="s">
        <v>177</v>
      </c>
      <c r="D134" s="5" t="s">
        <v>12</v>
      </c>
      <c r="E134" s="5" t="s">
        <v>13</v>
      </c>
      <c r="F134" s="5" t="s">
        <v>14</v>
      </c>
      <c r="G134" s="6">
        <v>25200</v>
      </c>
      <c r="H134" s="131" t="str">
        <f>HYPERLINK("https://adv-map.ru/place/?LINK=5b96edbd6aa4736cf5fb84e1ed9dfcc6","Ссылка")</f>
        <v>Ссылка</v>
      </c>
      <c r="I134" s="5" t="s">
        <v>178</v>
      </c>
    </row>
    <row r="135" spans="1:9" s="4" customFormat="1" ht="38.1" customHeight="1" outlineLevel="1" x14ac:dyDescent="0.2">
      <c r="A135" s="5" t="s">
        <v>158</v>
      </c>
      <c r="B135" s="5" t="s">
        <v>158</v>
      </c>
      <c r="C135" s="5" t="s">
        <v>177</v>
      </c>
      <c r="D135" s="5" t="s">
        <v>12</v>
      </c>
      <c r="E135" s="5" t="s">
        <v>13</v>
      </c>
      <c r="F135" s="5" t="s">
        <v>16</v>
      </c>
      <c r="G135" s="6">
        <v>22680</v>
      </c>
      <c r="H135" s="132" t="str">
        <f>HYPERLINK("https://adv-map.ru/place/?LINK=a8ba67947f26af918200bfec676e473c","Ссылка")</f>
        <v>Ссылка</v>
      </c>
      <c r="I135" s="5" t="s">
        <v>178</v>
      </c>
    </row>
    <row r="136" spans="1:9" s="4" customFormat="1" ht="38.1" customHeight="1" outlineLevel="1" x14ac:dyDescent="0.2">
      <c r="A136" s="5" t="s">
        <v>158</v>
      </c>
      <c r="B136" s="5" t="s">
        <v>158</v>
      </c>
      <c r="C136" s="5" t="s">
        <v>179</v>
      </c>
      <c r="D136" s="5" t="s">
        <v>12</v>
      </c>
      <c r="E136" s="5" t="s">
        <v>13</v>
      </c>
      <c r="F136" s="5" t="s">
        <v>14</v>
      </c>
      <c r="G136" s="6">
        <v>27720</v>
      </c>
      <c r="H136" s="133" t="str">
        <f>HYPERLINK("https://adv-map.ru/place/?LINK=46eb4542135e57547d0253cbf2b89d82","Ссылка")</f>
        <v>Ссылка</v>
      </c>
      <c r="I136" s="5" t="s">
        <v>180</v>
      </c>
    </row>
    <row r="137" spans="1:9" s="4" customFormat="1" ht="38.1" customHeight="1" outlineLevel="1" x14ac:dyDescent="0.2">
      <c r="A137" s="5" t="s">
        <v>158</v>
      </c>
      <c r="B137" s="5" t="s">
        <v>158</v>
      </c>
      <c r="C137" s="5" t="s">
        <v>179</v>
      </c>
      <c r="D137" s="5" t="s">
        <v>12</v>
      </c>
      <c r="E137" s="5" t="s">
        <v>13</v>
      </c>
      <c r="F137" s="5" t="s">
        <v>16</v>
      </c>
      <c r="G137" s="6">
        <v>22680</v>
      </c>
      <c r="H137" s="134" t="str">
        <f>HYPERLINK("https://adv-map.ru/place/?LINK=ba4d06d35d15b2c9c703d089f848241b","Ссылка")</f>
        <v>Ссылка</v>
      </c>
      <c r="I137" s="5" t="s">
        <v>180</v>
      </c>
    </row>
    <row r="138" spans="1:9" s="4" customFormat="1" ht="38.1" customHeight="1" outlineLevel="1" x14ac:dyDescent="0.2">
      <c r="A138" s="5" t="s">
        <v>158</v>
      </c>
      <c r="B138" s="5" t="s">
        <v>158</v>
      </c>
      <c r="C138" s="5" t="s">
        <v>181</v>
      </c>
      <c r="D138" s="5" t="s">
        <v>12</v>
      </c>
      <c r="E138" s="5" t="s">
        <v>13</v>
      </c>
      <c r="F138" s="5" t="s">
        <v>14</v>
      </c>
      <c r="G138" s="6">
        <v>27720</v>
      </c>
      <c r="H138" s="135" t="str">
        <f>HYPERLINK("https://adv-map.ru/place/?LINK=0d874397342d346434d2644c679bb74a","Ссылка")</f>
        <v>Ссылка</v>
      </c>
      <c r="I138" s="5" t="s">
        <v>182</v>
      </c>
    </row>
    <row r="139" spans="1:9" s="4" customFormat="1" ht="38.1" customHeight="1" outlineLevel="1" x14ac:dyDescent="0.2">
      <c r="A139" s="5" t="s">
        <v>158</v>
      </c>
      <c r="B139" s="5" t="s">
        <v>158</v>
      </c>
      <c r="C139" s="5" t="s">
        <v>181</v>
      </c>
      <c r="D139" s="5" t="s">
        <v>12</v>
      </c>
      <c r="E139" s="5" t="s">
        <v>13</v>
      </c>
      <c r="F139" s="5" t="s">
        <v>16</v>
      </c>
      <c r="G139" s="6">
        <v>22680</v>
      </c>
      <c r="H139" s="136" t="str">
        <f>HYPERLINK("https://adv-map.ru/place/?LINK=63c7c9fad5f0636cde765769d88571c0","Ссылка")</f>
        <v>Ссылка</v>
      </c>
      <c r="I139" s="5" t="s">
        <v>182</v>
      </c>
    </row>
    <row r="140" spans="1:9" s="1" customFormat="1" ht="14.1" customHeight="1" x14ac:dyDescent="0.15">
      <c r="A140" s="2" t="s">
        <v>183</v>
      </c>
      <c r="B140" s="3"/>
      <c r="C140" s="3"/>
      <c r="D140" s="3"/>
      <c r="E140" s="3"/>
      <c r="F140" s="3"/>
      <c r="G140" s="3"/>
      <c r="H140" s="3"/>
      <c r="I140" s="3"/>
    </row>
    <row r="141" spans="1:9" s="4" customFormat="1" ht="38.1" customHeight="1" outlineLevel="1" x14ac:dyDescent="0.2">
      <c r="A141" s="5" t="s">
        <v>183</v>
      </c>
      <c r="B141" s="5" t="s">
        <v>134</v>
      </c>
      <c r="C141" s="5" t="s">
        <v>184</v>
      </c>
      <c r="D141" s="5" t="s">
        <v>12</v>
      </c>
      <c r="E141" s="5" t="s">
        <v>13</v>
      </c>
      <c r="F141" s="5" t="s">
        <v>14</v>
      </c>
      <c r="G141" s="6">
        <v>31500</v>
      </c>
      <c r="H141" s="137" t="str">
        <f>HYPERLINK("https://adv-map.ru/place/?LINK=18f3e093602606111ff743ba1272bcc9","Ссылка")</f>
        <v>Ссылка</v>
      </c>
      <c r="I141" s="5" t="s">
        <v>185</v>
      </c>
    </row>
    <row r="142" spans="1:9" s="4" customFormat="1" ht="38.1" customHeight="1" outlineLevel="1" x14ac:dyDescent="0.2">
      <c r="A142" s="5" t="s">
        <v>183</v>
      </c>
      <c r="B142" s="5" t="s">
        <v>134</v>
      </c>
      <c r="C142" s="5" t="s">
        <v>184</v>
      </c>
      <c r="D142" s="5" t="s">
        <v>12</v>
      </c>
      <c r="E142" s="5" t="s">
        <v>13</v>
      </c>
      <c r="F142" s="5" t="s">
        <v>16</v>
      </c>
      <c r="G142" s="6">
        <v>25200</v>
      </c>
      <c r="H142" s="138" t="str">
        <f>HYPERLINK("https://adv-map.ru/place/?LINK=9a04ff4234b0752c760b24e339f5b10d","Ссылка")</f>
        <v>Ссылка</v>
      </c>
      <c r="I142" s="5" t="s">
        <v>185</v>
      </c>
    </row>
    <row r="143" spans="1:9" s="4" customFormat="1" ht="38.1" customHeight="1" outlineLevel="1" x14ac:dyDescent="0.2">
      <c r="A143" s="5" t="s">
        <v>183</v>
      </c>
      <c r="B143" s="5" t="s">
        <v>186</v>
      </c>
      <c r="C143" s="5" t="s">
        <v>187</v>
      </c>
      <c r="D143" s="5" t="s">
        <v>12</v>
      </c>
      <c r="E143" s="5" t="s">
        <v>13</v>
      </c>
      <c r="F143" s="5" t="s">
        <v>14</v>
      </c>
      <c r="G143" s="6">
        <v>31500</v>
      </c>
      <c r="H143" s="139" t="str">
        <f>HYPERLINK("https://adv-map.ru/place/?LINK=0bfc384e041ce21f59b53f9de4445563","Ссылка")</f>
        <v>Ссылка</v>
      </c>
      <c r="I143" s="5" t="s">
        <v>188</v>
      </c>
    </row>
    <row r="144" spans="1:9" s="4" customFormat="1" ht="38.1" customHeight="1" outlineLevel="1" x14ac:dyDescent="0.2">
      <c r="A144" s="5" t="s">
        <v>183</v>
      </c>
      <c r="B144" s="5" t="s">
        <v>186</v>
      </c>
      <c r="C144" s="5" t="s">
        <v>187</v>
      </c>
      <c r="D144" s="5" t="s">
        <v>12</v>
      </c>
      <c r="E144" s="5" t="s">
        <v>13</v>
      </c>
      <c r="F144" s="5" t="s">
        <v>16</v>
      </c>
      <c r="G144" s="6">
        <v>25200</v>
      </c>
      <c r="H144" s="140" t="str">
        <f>HYPERLINK("https://adv-map.ru/place/?LINK=cb60e68bb475dfc880a29ae0842118e9","Ссылка")</f>
        <v>Ссылка</v>
      </c>
      <c r="I144" s="5" t="s">
        <v>188</v>
      </c>
    </row>
    <row r="145" spans="1:9" s="4" customFormat="1" ht="38.1" customHeight="1" outlineLevel="1" x14ac:dyDescent="0.2">
      <c r="A145" s="5" t="s">
        <v>183</v>
      </c>
      <c r="B145" s="5" t="s">
        <v>186</v>
      </c>
      <c r="C145" s="5" t="s">
        <v>189</v>
      </c>
      <c r="D145" s="5" t="s">
        <v>12</v>
      </c>
      <c r="E145" s="5" t="s">
        <v>13</v>
      </c>
      <c r="F145" s="5" t="s">
        <v>14</v>
      </c>
      <c r="G145" s="6">
        <v>31500</v>
      </c>
      <c r="H145" s="141" t="str">
        <f>HYPERLINK("https://adv-map.ru/place/?LINK=7542a229b94d72086e38c30f0b7cd775","Ссылка")</f>
        <v>Ссылка</v>
      </c>
      <c r="I145" s="5" t="s">
        <v>190</v>
      </c>
    </row>
    <row r="146" spans="1:9" s="4" customFormat="1" ht="38.1" customHeight="1" outlineLevel="1" x14ac:dyDescent="0.2">
      <c r="A146" s="5" t="s">
        <v>183</v>
      </c>
      <c r="B146" s="5" t="s">
        <v>186</v>
      </c>
      <c r="C146" s="5" t="s">
        <v>191</v>
      </c>
      <c r="D146" s="5" t="s">
        <v>12</v>
      </c>
      <c r="E146" s="5" t="s">
        <v>13</v>
      </c>
      <c r="F146" s="5" t="s">
        <v>14</v>
      </c>
      <c r="G146" s="6">
        <v>31500</v>
      </c>
      <c r="H146" s="142" t="str">
        <f>HYPERLINK("https://adv-map.ru/place/?LINK=54ae130a8b9cf25086653e8359b8d439","Ссылка")</f>
        <v>Ссылка</v>
      </c>
      <c r="I146" s="5" t="s">
        <v>192</v>
      </c>
    </row>
    <row r="147" spans="1:9" s="4" customFormat="1" ht="51" customHeight="1" outlineLevel="1" x14ac:dyDescent="0.2">
      <c r="A147" s="5" t="s">
        <v>183</v>
      </c>
      <c r="B147" s="5" t="s">
        <v>186</v>
      </c>
      <c r="C147" s="5" t="s">
        <v>191</v>
      </c>
      <c r="D147" s="5" t="s">
        <v>12</v>
      </c>
      <c r="E147" s="5" t="s">
        <v>13</v>
      </c>
      <c r="F147" s="5" t="s">
        <v>16</v>
      </c>
      <c r="G147" s="6">
        <v>25200</v>
      </c>
      <c r="H147" s="143" t="str">
        <f>HYPERLINK("https://adv-map.ru/place/?LINK=4543c898ca973e85995013a1e7315079","Ссылка")</f>
        <v>Ссылка</v>
      </c>
      <c r="I147" s="5" t="s">
        <v>192</v>
      </c>
    </row>
    <row r="148" spans="1:9" s="4" customFormat="1" ht="38.1" customHeight="1" outlineLevel="1" x14ac:dyDescent="0.2">
      <c r="A148" s="5" t="s">
        <v>183</v>
      </c>
      <c r="B148" s="5" t="s">
        <v>186</v>
      </c>
      <c r="C148" s="5" t="s">
        <v>193</v>
      </c>
      <c r="D148" s="5" t="s">
        <v>12</v>
      </c>
      <c r="E148" s="5" t="s">
        <v>13</v>
      </c>
      <c r="F148" s="5" t="s">
        <v>14</v>
      </c>
      <c r="G148" s="6">
        <v>31500</v>
      </c>
      <c r="H148" s="144" t="str">
        <f>HYPERLINK("https://adv-map.ru/place/?LINK=8cbe995ff83cfe8962876013c50a383f","Ссылка")</f>
        <v>Ссылка</v>
      </c>
      <c r="I148" s="5" t="s">
        <v>194</v>
      </c>
    </row>
    <row r="149" spans="1:9" s="4" customFormat="1" ht="38.1" customHeight="1" outlineLevel="1" x14ac:dyDescent="0.2">
      <c r="A149" s="5" t="s">
        <v>183</v>
      </c>
      <c r="B149" s="5" t="s">
        <v>186</v>
      </c>
      <c r="C149" s="5" t="s">
        <v>193</v>
      </c>
      <c r="D149" s="5" t="s">
        <v>12</v>
      </c>
      <c r="E149" s="5" t="s">
        <v>13</v>
      </c>
      <c r="F149" s="5" t="s">
        <v>16</v>
      </c>
      <c r="G149" s="6">
        <v>25200</v>
      </c>
      <c r="H149" s="145" t="str">
        <f>HYPERLINK("https://adv-map.ru/place/?LINK=512c1830f37b1cf8d36343caa5cf74b6","Ссылка")</f>
        <v>Ссылка</v>
      </c>
      <c r="I149" s="5" t="s">
        <v>194</v>
      </c>
    </row>
    <row r="150" spans="1:9" s="4" customFormat="1" ht="38.1" customHeight="1" outlineLevel="1" x14ac:dyDescent="0.2">
      <c r="A150" s="5" t="s">
        <v>183</v>
      </c>
      <c r="B150" s="5" t="s">
        <v>186</v>
      </c>
      <c r="C150" s="5" t="s">
        <v>195</v>
      </c>
      <c r="D150" s="5" t="s">
        <v>12</v>
      </c>
      <c r="E150" s="5" t="s">
        <v>13</v>
      </c>
      <c r="F150" s="5" t="s">
        <v>14</v>
      </c>
      <c r="G150" s="6">
        <v>26250</v>
      </c>
      <c r="H150" s="146" t="str">
        <f>HYPERLINK("https://adv-map.ru/place/?LINK=51c940a86a0974ec5057a8c082d93542","Ссылка")</f>
        <v>Ссылка</v>
      </c>
      <c r="I150" s="5" t="s">
        <v>196</v>
      </c>
    </row>
    <row r="151" spans="1:9" s="4" customFormat="1" ht="38.1" customHeight="1" outlineLevel="1" x14ac:dyDescent="0.2">
      <c r="A151" s="5" t="s">
        <v>183</v>
      </c>
      <c r="B151" s="5" t="s">
        <v>186</v>
      </c>
      <c r="C151" s="5" t="s">
        <v>195</v>
      </c>
      <c r="D151" s="5" t="s">
        <v>12</v>
      </c>
      <c r="E151" s="5" t="s">
        <v>13</v>
      </c>
      <c r="F151" s="5" t="s">
        <v>16</v>
      </c>
      <c r="G151" s="6">
        <v>21000</v>
      </c>
      <c r="H151" s="147" t="str">
        <f>HYPERLINK("https://adv-map.ru/place/?LINK=809128b34cb7e874de4d5fae76863d29","Ссылка")</f>
        <v>Ссылка</v>
      </c>
      <c r="I151" s="5" t="s">
        <v>196</v>
      </c>
    </row>
    <row r="152" spans="1:9" s="4" customFormat="1" ht="38.1" customHeight="1" outlineLevel="1" x14ac:dyDescent="0.2">
      <c r="A152" s="5" t="s">
        <v>183</v>
      </c>
      <c r="B152" s="5" t="s">
        <v>197</v>
      </c>
      <c r="C152" s="5" t="s">
        <v>198</v>
      </c>
      <c r="D152" s="5" t="s">
        <v>12</v>
      </c>
      <c r="E152" s="5" t="s">
        <v>13</v>
      </c>
      <c r="F152" s="5" t="s">
        <v>14</v>
      </c>
      <c r="G152" s="6">
        <v>31500</v>
      </c>
      <c r="H152" s="148" t="str">
        <f>HYPERLINK("https://adv-map.ru/place/?LINK=7314ed9fe0afbe0feb7f300e7bb23a2e","Ссылка")</f>
        <v>Ссылка</v>
      </c>
      <c r="I152" s="5" t="s">
        <v>199</v>
      </c>
    </row>
    <row r="153" spans="1:9" s="4" customFormat="1" ht="38.1" customHeight="1" outlineLevel="1" x14ac:dyDescent="0.2">
      <c r="A153" s="5" t="s">
        <v>183</v>
      </c>
      <c r="B153" s="5" t="s">
        <v>197</v>
      </c>
      <c r="C153" s="5" t="s">
        <v>198</v>
      </c>
      <c r="D153" s="5" t="s">
        <v>12</v>
      </c>
      <c r="E153" s="5" t="s">
        <v>13</v>
      </c>
      <c r="F153" s="5" t="s">
        <v>16</v>
      </c>
      <c r="G153" s="6">
        <v>27720</v>
      </c>
      <c r="H153" s="149" t="str">
        <f>HYPERLINK("https://adv-map.ru/place/?LINK=6b5d0d3ce882f6ab707a6909b183e6bf","Ссылка")</f>
        <v>Ссылка</v>
      </c>
      <c r="I153" s="5" t="s">
        <v>199</v>
      </c>
    </row>
    <row r="154" spans="1:9" s="4" customFormat="1" ht="38.1" customHeight="1" outlineLevel="1" x14ac:dyDescent="0.2">
      <c r="A154" s="5" t="s">
        <v>183</v>
      </c>
      <c r="B154" s="5" t="s">
        <v>197</v>
      </c>
      <c r="C154" s="5" t="s">
        <v>200</v>
      </c>
      <c r="D154" s="5" t="s">
        <v>12</v>
      </c>
      <c r="E154" s="5" t="s">
        <v>13</v>
      </c>
      <c r="F154" s="5" t="s">
        <v>14</v>
      </c>
      <c r="G154" s="6">
        <v>31500</v>
      </c>
      <c r="H154" s="150" t="str">
        <f>HYPERLINK("https://adv-map.ru/place/?LINK=1f1bd9ca5e9535e077e327d57ed147db","Ссылка")</f>
        <v>Ссылка</v>
      </c>
      <c r="I154" s="5" t="s">
        <v>201</v>
      </c>
    </row>
    <row r="155" spans="1:9" s="4" customFormat="1" ht="38.1" customHeight="1" outlineLevel="1" x14ac:dyDescent="0.2">
      <c r="A155" s="5" t="s">
        <v>183</v>
      </c>
      <c r="B155" s="5" t="s">
        <v>197</v>
      </c>
      <c r="C155" s="5" t="s">
        <v>200</v>
      </c>
      <c r="D155" s="5" t="s">
        <v>12</v>
      </c>
      <c r="E155" s="5" t="s">
        <v>13</v>
      </c>
      <c r="F155" s="5" t="s">
        <v>16</v>
      </c>
      <c r="G155" s="6">
        <v>25200</v>
      </c>
      <c r="H155" s="151" t="str">
        <f>HYPERLINK("https://adv-map.ru/place/?LINK=c95c5acded0c725663fdeeb738865ce4","Ссылка")</f>
        <v>Ссылка</v>
      </c>
      <c r="I155" s="5" t="s">
        <v>201</v>
      </c>
    </row>
    <row r="156" spans="1:9" s="4" customFormat="1" ht="38.1" customHeight="1" outlineLevel="1" x14ac:dyDescent="0.2">
      <c r="A156" s="5" t="s">
        <v>183</v>
      </c>
      <c r="B156" s="5" t="s">
        <v>197</v>
      </c>
      <c r="C156" s="5" t="s">
        <v>202</v>
      </c>
      <c r="D156" s="5" t="s">
        <v>12</v>
      </c>
      <c r="E156" s="5" t="s">
        <v>13</v>
      </c>
      <c r="F156" s="5" t="s">
        <v>14</v>
      </c>
      <c r="G156" s="6">
        <v>31500</v>
      </c>
      <c r="H156" s="152" t="str">
        <f>HYPERLINK("https://adv-map.ru/place/?LINK=257022e260b5e3bee5845be7f6be98f8","Ссылка")</f>
        <v>Ссылка</v>
      </c>
      <c r="I156" s="5" t="s">
        <v>203</v>
      </c>
    </row>
    <row r="157" spans="1:9" s="4" customFormat="1" ht="38.1" customHeight="1" outlineLevel="1" x14ac:dyDescent="0.2">
      <c r="A157" s="5" t="s">
        <v>183</v>
      </c>
      <c r="B157" s="5" t="s">
        <v>197</v>
      </c>
      <c r="C157" s="5" t="s">
        <v>204</v>
      </c>
      <c r="D157" s="5" t="s">
        <v>12</v>
      </c>
      <c r="E157" s="5" t="s">
        <v>13</v>
      </c>
      <c r="F157" s="5" t="s">
        <v>14</v>
      </c>
      <c r="G157" s="6">
        <v>31500</v>
      </c>
      <c r="H157" s="153" t="str">
        <f>HYPERLINK("https://adv-map.ru/place/?LINK=5e48581dba64716a7fbcb2aca2abed9f","Ссылка")</f>
        <v>Ссылка</v>
      </c>
      <c r="I157" s="5" t="s">
        <v>205</v>
      </c>
    </row>
    <row r="158" spans="1:9" s="4" customFormat="1" ht="38.1" customHeight="1" outlineLevel="1" x14ac:dyDescent="0.2">
      <c r="A158" s="5" t="s">
        <v>183</v>
      </c>
      <c r="B158" s="5" t="s">
        <v>197</v>
      </c>
      <c r="C158" s="5" t="s">
        <v>204</v>
      </c>
      <c r="D158" s="5" t="s">
        <v>12</v>
      </c>
      <c r="E158" s="5" t="s">
        <v>13</v>
      </c>
      <c r="F158" s="5" t="s">
        <v>16</v>
      </c>
      <c r="G158" s="6">
        <v>25200</v>
      </c>
      <c r="H158" s="154" t="str">
        <f>HYPERLINK("https://adv-map.ru/place/?LINK=38fd3ebf424a7fda9b83b3ef0ad16acf","Ссылка")</f>
        <v>Ссылка</v>
      </c>
      <c r="I158" s="5" t="s">
        <v>205</v>
      </c>
    </row>
    <row r="159" spans="1:9" s="4" customFormat="1" ht="38.1" customHeight="1" outlineLevel="1" x14ac:dyDescent="0.2">
      <c r="A159" s="5" t="s">
        <v>183</v>
      </c>
      <c r="B159" s="5" t="s">
        <v>206</v>
      </c>
      <c r="C159" s="5" t="s">
        <v>207</v>
      </c>
      <c r="D159" s="5" t="s">
        <v>12</v>
      </c>
      <c r="E159" s="5" t="s">
        <v>13</v>
      </c>
      <c r="F159" s="5" t="s">
        <v>14</v>
      </c>
      <c r="G159" s="6">
        <v>26250</v>
      </c>
      <c r="H159" s="155" t="str">
        <f>HYPERLINK("https://adv-map.ru/place/?LINK=72489b97b08901f2692dc88fc7177502","Ссылка")</f>
        <v>Ссылка</v>
      </c>
      <c r="I159" s="5" t="s">
        <v>208</v>
      </c>
    </row>
    <row r="160" spans="1:9" s="4" customFormat="1" ht="38.1" customHeight="1" outlineLevel="1" x14ac:dyDescent="0.2">
      <c r="A160" s="5" t="s">
        <v>183</v>
      </c>
      <c r="B160" s="5" t="s">
        <v>206</v>
      </c>
      <c r="C160" s="5" t="s">
        <v>207</v>
      </c>
      <c r="D160" s="5" t="s">
        <v>12</v>
      </c>
      <c r="E160" s="5" t="s">
        <v>13</v>
      </c>
      <c r="F160" s="5" t="s">
        <v>16</v>
      </c>
      <c r="G160" s="6">
        <v>21000</v>
      </c>
      <c r="H160" s="156" t="str">
        <f>HYPERLINK("https://adv-map.ru/place/?LINK=4c3fa1e2d54de5565179603c71fb8697","Ссылка")</f>
        <v>Ссылка</v>
      </c>
      <c r="I160" s="5" t="s">
        <v>208</v>
      </c>
    </row>
    <row r="161" spans="1:9" s="4" customFormat="1" ht="38.1" customHeight="1" outlineLevel="1" x14ac:dyDescent="0.2">
      <c r="A161" s="5" t="s">
        <v>183</v>
      </c>
      <c r="B161" s="5" t="s">
        <v>197</v>
      </c>
      <c r="C161" s="5" t="s">
        <v>209</v>
      </c>
      <c r="D161" s="5" t="s">
        <v>12</v>
      </c>
      <c r="E161" s="5" t="s">
        <v>13</v>
      </c>
      <c r="F161" s="5" t="s">
        <v>14</v>
      </c>
      <c r="G161" s="6">
        <v>26250</v>
      </c>
      <c r="H161" s="157" t="str">
        <f>HYPERLINK("https://adv-map.ru/place/?LINK=d80cfa5d24c699947173a9178acf4918","Ссылка")</f>
        <v>Ссылка</v>
      </c>
      <c r="I161" s="5" t="s">
        <v>210</v>
      </c>
    </row>
    <row r="162" spans="1:9" s="4" customFormat="1" ht="38.1" customHeight="1" outlineLevel="1" x14ac:dyDescent="0.2">
      <c r="A162" s="5" t="s">
        <v>183</v>
      </c>
      <c r="B162" s="5" t="s">
        <v>197</v>
      </c>
      <c r="C162" s="5" t="s">
        <v>209</v>
      </c>
      <c r="D162" s="5" t="s">
        <v>12</v>
      </c>
      <c r="E162" s="5" t="s">
        <v>13</v>
      </c>
      <c r="F162" s="5" t="s">
        <v>16</v>
      </c>
      <c r="G162" s="6">
        <v>21000</v>
      </c>
      <c r="H162" s="158" t="str">
        <f>HYPERLINK("https://adv-map.ru/place/?LINK=14be85fb63cf2f402178589eda2c05f2","Ссылка")</f>
        <v>Ссылка</v>
      </c>
      <c r="I162" s="5" t="s">
        <v>210</v>
      </c>
    </row>
    <row r="163" spans="1:9" s="4" customFormat="1" ht="38.1" customHeight="1" outlineLevel="1" x14ac:dyDescent="0.2">
      <c r="A163" s="5" t="s">
        <v>183</v>
      </c>
      <c r="B163" s="5" t="s">
        <v>197</v>
      </c>
      <c r="C163" s="5" t="s">
        <v>211</v>
      </c>
      <c r="D163" s="5" t="s">
        <v>12</v>
      </c>
      <c r="E163" s="5" t="s">
        <v>13</v>
      </c>
      <c r="F163" s="5" t="s">
        <v>14</v>
      </c>
      <c r="G163" s="6">
        <v>26250</v>
      </c>
      <c r="H163" s="159" t="str">
        <f>HYPERLINK("https://adv-map.ru/place/?LINK=1a64867fd9a86bdc38bc42b1e41973a4","Ссылка")</f>
        <v>Ссылка</v>
      </c>
      <c r="I163" s="5" t="s">
        <v>212</v>
      </c>
    </row>
    <row r="164" spans="1:9" s="4" customFormat="1" ht="38.1" customHeight="1" outlineLevel="1" x14ac:dyDescent="0.2">
      <c r="A164" s="5" t="s">
        <v>183</v>
      </c>
      <c r="B164" s="5" t="s">
        <v>197</v>
      </c>
      <c r="C164" s="5" t="s">
        <v>211</v>
      </c>
      <c r="D164" s="5" t="s">
        <v>12</v>
      </c>
      <c r="E164" s="5" t="s">
        <v>13</v>
      </c>
      <c r="F164" s="5" t="s">
        <v>16</v>
      </c>
      <c r="G164" s="6">
        <v>21000</v>
      </c>
      <c r="H164" s="160" t="str">
        <f>HYPERLINK("https://adv-map.ru/place/?LINK=3ad5444077215b36e03b55ca905ce1ba","Ссылка")</f>
        <v>Ссылка</v>
      </c>
      <c r="I164" s="5" t="s">
        <v>212</v>
      </c>
    </row>
    <row r="165" spans="1:9" s="4" customFormat="1" ht="38.1" customHeight="1" outlineLevel="1" x14ac:dyDescent="0.2">
      <c r="A165" s="5" t="s">
        <v>183</v>
      </c>
      <c r="B165" s="5" t="s">
        <v>206</v>
      </c>
      <c r="C165" s="5" t="s">
        <v>213</v>
      </c>
      <c r="D165" s="5" t="s">
        <v>12</v>
      </c>
      <c r="E165" s="5" t="s">
        <v>13</v>
      </c>
      <c r="F165" s="5" t="s">
        <v>14</v>
      </c>
      <c r="G165" s="6">
        <v>26250</v>
      </c>
      <c r="H165" s="161" t="str">
        <f>HYPERLINK("https://adv-map.ru/place/?LINK=43ef9c542001c61a55d4d47f7407f911","Ссылка")</f>
        <v>Ссылка</v>
      </c>
      <c r="I165" s="5" t="s">
        <v>214</v>
      </c>
    </row>
    <row r="166" spans="1:9" s="4" customFormat="1" ht="38.1" customHeight="1" outlineLevel="1" x14ac:dyDescent="0.2">
      <c r="A166" s="5" t="s">
        <v>183</v>
      </c>
      <c r="B166" s="5" t="s">
        <v>206</v>
      </c>
      <c r="C166" s="5" t="s">
        <v>213</v>
      </c>
      <c r="D166" s="5" t="s">
        <v>12</v>
      </c>
      <c r="E166" s="5" t="s">
        <v>13</v>
      </c>
      <c r="F166" s="5" t="s">
        <v>16</v>
      </c>
      <c r="G166" s="6">
        <v>21000</v>
      </c>
      <c r="H166" s="162" t="str">
        <f>HYPERLINK("https://adv-map.ru/place/?LINK=92404a6c06471a8e755f0d0580e9914e","Ссылка")</f>
        <v>Ссылка</v>
      </c>
      <c r="I166" s="5" t="s">
        <v>214</v>
      </c>
    </row>
    <row r="167" spans="1:9" s="4" customFormat="1" ht="38.1" customHeight="1" outlineLevel="1" x14ac:dyDescent="0.2">
      <c r="A167" s="5" t="s">
        <v>183</v>
      </c>
      <c r="B167" s="5" t="s">
        <v>186</v>
      </c>
      <c r="C167" s="5" t="s">
        <v>215</v>
      </c>
      <c r="D167" s="5" t="s">
        <v>12</v>
      </c>
      <c r="E167" s="5" t="s">
        <v>13</v>
      </c>
      <c r="F167" s="5" t="s">
        <v>14</v>
      </c>
      <c r="G167" s="6">
        <v>26250</v>
      </c>
      <c r="H167" s="163" t="str">
        <f>HYPERLINK("https://adv-map.ru/place/?LINK=891b17666681f04c42ef4bfb65110608","Ссылка")</f>
        <v>Ссылка</v>
      </c>
      <c r="I167" s="5" t="s">
        <v>216</v>
      </c>
    </row>
    <row r="168" spans="1:9" s="4" customFormat="1" ht="51" customHeight="1" outlineLevel="1" x14ac:dyDescent="0.2">
      <c r="A168" s="5" t="s">
        <v>183</v>
      </c>
      <c r="B168" s="5" t="s">
        <v>186</v>
      </c>
      <c r="C168" s="5" t="s">
        <v>215</v>
      </c>
      <c r="D168" s="5" t="s">
        <v>12</v>
      </c>
      <c r="E168" s="5" t="s">
        <v>13</v>
      </c>
      <c r="F168" s="5" t="s">
        <v>16</v>
      </c>
      <c r="G168" s="6">
        <v>21000</v>
      </c>
      <c r="H168" s="164" t="str">
        <f>HYPERLINK("https://adv-map.ru/place/?LINK=ec8577eb2c119254d28a41b547b7b592","Ссылка")</f>
        <v>Ссылка</v>
      </c>
      <c r="I168" s="5" t="s">
        <v>216</v>
      </c>
    </row>
    <row r="169" spans="1:9" s="4" customFormat="1" ht="38.1" customHeight="1" outlineLevel="1" x14ac:dyDescent="0.2">
      <c r="A169" s="5" t="s">
        <v>183</v>
      </c>
      <c r="B169" s="5" t="s">
        <v>217</v>
      </c>
      <c r="C169" s="5" t="s">
        <v>218</v>
      </c>
      <c r="D169" s="5" t="s">
        <v>12</v>
      </c>
      <c r="E169" s="5" t="s">
        <v>13</v>
      </c>
      <c r="F169" s="5" t="s">
        <v>14</v>
      </c>
      <c r="G169" s="6">
        <v>26250</v>
      </c>
      <c r="H169" s="165" t="str">
        <f>HYPERLINK("https://adv-map.ru/place/?LINK=1d1fe5ec2f89f0a65d0884bb987c8c5a","Ссылка")</f>
        <v>Ссылка</v>
      </c>
      <c r="I169" s="5" t="s">
        <v>219</v>
      </c>
    </row>
    <row r="170" spans="1:9" s="4" customFormat="1" ht="38.1" customHeight="1" outlineLevel="1" x14ac:dyDescent="0.2">
      <c r="A170" s="5" t="s">
        <v>183</v>
      </c>
      <c r="B170" s="5" t="s">
        <v>217</v>
      </c>
      <c r="C170" s="5" t="s">
        <v>218</v>
      </c>
      <c r="D170" s="5" t="s">
        <v>12</v>
      </c>
      <c r="E170" s="5" t="s">
        <v>13</v>
      </c>
      <c r="F170" s="5" t="s">
        <v>16</v>
      </c>
      <c r="G170" s="6">
        <v>21000</v>
      </c>
      <c r="H170" s="166" t="str">
        <f>HYPERLINK("https://adv-map.ru/place/?LINK=7ec1da2c92dfc9847306a6444d085619","Ссылка")</f>
        <v>Ссылка</v>
      </c>
      <c r="I170" s="5" t="s">
        <v>219</v>
      </c>
    </row>
    <row r="171" spans="1:9" s="4" customFormat="1" ht="38.1" customHeight="1" outlineLevel="1" x14ac:dyDescent="0.2">
      <c r="A171" s="5" t="s">
        <v>183</v>
      </c>
      <c r="B171" s="5" t="s">
        <v>217</v>
      </c>
      <c r="C171" s="5" t="s">
        <v>220</v>
      </c>
      <c r="D171" s="5" t="s">
        <v>12</v>
      </c>
      <c r="E171" s="5" t="s">
        <v>13</v>
      </c>
      <c r="F171" s="5" t="s">
        <v>14</v>
      </c>
      <c r="G171" s="6">
        <v>26250</v>
      </c>
      <c r="H171" s="167" t="str">
        <f>HYPERLINK("https://adv-map.ru/place/?LINK=9383e3c0310ace5e03662846b68fe27f","Ссылка")</f>
        <v>Ссылка</v>
      </c>
      <c r="I171" s="5" t="s">
        <v>221</v>
      </c>
    </row>
    <row r="172" spans="1:9" s="4" customFormat="1" ht="38.1" customHeight="1" outlineLevel="1" x14ac:dyDescent="0.2">
      <c r="A172" s="5" t="s">
        <v>183</v>
      </c>
      <c r="B172" s="5" t="s">
        <v>217</v>
      </c>
      <c r="C172" s="5" t="s">
        <v>220</v>
      </c>
      <c r="D172" s="5" t="s">
        <v>12</v>
      </c>
      <c r="E172" s="5" t="s">
        <v>13</v>
      </c>
      <c r="F172" s="5" t="s">
        <v>16</v>
      </c>
      <c r="G172" s="6">
        <v>21000</v>
      </c>
      <c r="H172" s="168" t="str">
        <f>HYPERLINK("https://adv-map.ru/place/?LINK=4e03250285461cd3d91ec5b1d60eb3e1","Ссылка")</f>
        <v>Ссылка</v>
      </c>
      <c r="I172" s="5" t="s">
        <v>221</v>
      </c>
    </row>
    <row r="173" spans="1:9" s="4" customFormat="1" ht="38.1" customHeight="1" outlineLevel="1" x14ac:dyDescent="0.2">
      <c r="A173" s="5" t="s">
        <v>183</v>
      </c>
      <c r="B173" s="5" t="s">
        <v>222</v>
      </c>
      <c r="C173" s="5" t="s">
        <v>223</v>
      </c>
      <c r="D173" s="5" t="s">
        <v>12</v>
      </c>
      <c r="E173" s="5" t="s">
        <v>13</v>
      </c>
      <c r="F173" s="5" t="s">
        <v>14</v>
      </c>
      <c r="G173" s="6">
        <v>21000</v>
      </c>
      <c r="H173" s="169" t="str">
        <f>HYPERLINK("https://adv-map.ru/place/?LINK=1b20660976bed30a4f18c25bb8d41d01","Ссылка")</f>
        <v>Ссылка</v>
      </c>
      <c r="I173" s="5" t="s">
        <v>224</v>
      </c>
    </row>
    <row r="174" spans="1:9" s="4" customFormat="1" ht="38.1" customHeight="1" outlineLevel="1" x14ac:dyDescent="0.2">
      <c r="A174" s="5" t="s">
        <v>183</v>
      </c>
      <c r="B174" s="5" t="s">
        <v>222</v>
      </c>
      <c r="C174" s="5" t="s">
        <v>223</v>
      </c>
      <c r="D174" s="5" t="s">
        <v>12</v>
      </c>
      <c r="E174" s="5" t="s">
        <v>13</v>
      </c>
      <c r="F174" s="5" t="s">
        <v>16</v>
      </c>
      <c r="G174" s="6">
        <v>16800</v>
      </c>
      <c r="H174" s="170" t="str">
        <f>HYPERLINK("https://adv-map.ru/place/?LINK=85f505b4f76c43603f7041d0428934d5","Ссылка")</f>
        <v>Ссылка</v>
      </c>
      <c r="I174" s="5" t="s">
        <v>224</v>
      </c>
    </row>
    <row r="175" spans="1:9" s="4" customFormat="1" ht="38.1" customHeight="1" outlineLevel="1" x14ac:dyDescent="0.2">
      <c r="A175" s="5" t="s">
        <v>183</v>
      </c>
      <c r="B175" s="5" t="s">
        <v>225</v>
      </c>
      <c r="C175" s="5" t="s">
        <v>226</v>
      </c>
      <c r="D175" s="5" t="s">
        <v>12</v>
      </c>
      <c r="E175" s="5" t="s">
        <v>13</v>
      </c>
      <c r="F175" s="5" t="s">
        <v>14</v>
      </c>
      <c r="G175" s="6">
        <v>26250</v>
      </c>
      <c r="H175" s="171" t="str">
        <f>HYPERLINK("https://adv-map.ru/place/?LINK=0b04965a9045a12eb4dafc719f3f9b1b","Ссылка")</f>
        <v>Ссылка</v>
      </c>
      <c r="I175" s="5" t="s">
        <v>227</v>
      </c>
    </row>
    <row r="176" spans="1:9" s="4" customFormat="1" ht="38.1" customHeight="1" outlineLevel="1" x14ac:dyDescent="0.2">
      <c r="A176" s="5" t="s">
        <v>183</v>
      </c>
      <c r="B176" s="5" t="s">
        <v>225</v>
      </c>
      <c r="C176" s="5" t="s">
        <v>226</v>
      </c>
      <c r="D176" s="5" t="s">
        <v>12</v>
      </c>
      <c r="E176" s="5" t="s">
        <v>13</v>
      </c>
      <c r="F176" s="5" t="s">
        <v>16</v>
      </c>
      <c r="G176" s="6">
        <v>21000</v>
      </c>
      <c r="H176" s="172" t="str">
        <f>HYPERLINK("https://adv-map.ru/place/?LINK=862b2185251d62affdf67c597a36a8f0","Ссылка")</f>
        <v>Ссылка</v>
      </c>
      <c r="I176" s="5" t="s">
        <v>227</v>
      </c>
    </row>
    <row r="177" spans="1:9" s="4" customFormat="1" ht="38.1" customHeight="1" outlineLevel="1" x14ac:dyDescent="0.2">
      <c r="A177" s="5" t="s">
        <v>183</v>
      </c>
      <c r="B177" s="5" t="s">
        <v>225</v>
      </c>
      <c r="C177" s="5" t="s">
        <v>228</v>
      </c>
      <c r="D177" s="5" t="s">
        <v>12</v>
      </c>
      <c r="E177" s="5" t="s">
        <v>13</v>
      </c>
      <c r="F177" s="5" t="s">
        <v>14</v>
      </c>
      <c r="G177" s="6">
        <v>26250</v>
      </c>
      <c r="H177" s="173" t="str">
        <f>HYPERLINK("https://adv-map.ru/place/?LINK=636dcb14f9dced83a83145772ba53992","Ссылка")</f>
        <v>Ссылка</v>
      </c>
      <c r="I177" s="5" t="s">
        <v>229</v>
      </c>
    </row>
    <row r="178" spans="1:9" s="4" customFormat="1" ht="38.1" customHeight="1" outlineLevel="1" x14ac:dyDescent="0.2">
      <c r="A178" s="5" t="s">
        <v>183</v>
      </c>
      <c r="B178" s="5" t="s">
        <v>225</v>
      </c>
      <c r="C178" s="5" t="s">
        <v>228</v>
      </c>
      <c r="D178" s="5" t="s">
        <v>12</v>
      </c>
      <c r="E178" s="5" t="s">
        <v>13</v>
      </c>
      <c r="F178" s="5" t="s">
        <v>16</v>
      </c>
      <c r="G178" s="6">
        <v>21000</v>
      </c>
      <c r="H178" s="174" t="str">
        <f>HYPERLINK("https://adv-map.ru/place/?LINK=97e79826d9e7d8620e6c42a8b57f6310","Ссылка")</f>
        <v>Ссылка</v>
      </c>
      <c r="I178" s="5" t="s">
        <v>229</v>
      </c>
    </row>
    <row r="179" spans="1:9" s="4" customFormat="1" ht="38.1" customHeight="1" outlineLevel="1" x14ac:dyDescent="0.2">
      <c r="A179" s="5" t="s">
        <v>183</v>
      </c>
      <c r="B179" s="5" t="s">
        <v>225</v>
      </c>
      <c r="C179" s="5" t="s">
        <v>230</v>
      </c>
      <c r="D179" s="5" t="s">
        <v>12</v>
      </c>
      <c r="E179" s="5" t="s">
        <v>13</v>
      </c>
      <c r="F179" s="5" t="s">
        <v>14</v>
      </c>
      <c r="G179" s="6">
        <v>26250</v>
      </c>
      <c r="H179" s="175" t="str">
        <f>HYPERLINK("https://adv-map.ru/place/?LINK=47bd1990f80e8290e467457a7fe46fc2","Ссылка")</f>
        <v>Ссылка</v>
      </c>
      <c r="I179" s="5" t="s">
        <v>231</v>
      </c>
    </row>
    <row r="180" spans="1:9" s="4" customFormat="1" ht="38.1" customHeight="1" outlineLevel="1" x14ac:dyDescent="0.2">
      <c r="A180" s="5" t="s">
        <v>183</v>
      </c>
      <c r="B180" s="5" t="s">
        <v>225</v>
      </c>
      <c r="C180" s="5" t="s">
        <v>230</v>
      </c>
      <c r="D180" s="5" t="s">
        <v>12</v>
      </c>
      <c r="E180" s="5" t="s">
        <v>13</v>
      </c>
      <c r="F180" s="5" t="s">
        <v>16</v>
      </c>
      <c r="G180" s="6">
        <v>21000</v>
      </c>
      <c r="H180" s="176" t="str">
        <f>HYPERLINK("https://adv-map.ru/place/?LINK=c7aa1d6143b4bf0ad7d51b8ced9c6e31","Ссылка")</f>
        <v>Ссылка</v>
      </c>
      <c r="I180" s="5" t="s">
        <v>231</v>
      </c>
    </row>
    <row r="181" spans="1:9" s="4" customFormat="1" ht="38.1" customHeight="1" outlineLevel="1" x14ac:dyDescent="0.2">
      <c r="A181" s="5" t="s">
        <v>183</v>
      </c>
      <c r="B181" s="5" t="s">
        <v>225</v>
      </c>
      <c r="C181" s="5" t="s">
        <v>232</v>
      </c>
      <c r="D181" s="5" t="s">
        <v>12</v>
      </c>
      <c r="E181" s="5" t="s">
        <v>13</v>
      </c>
      <c r="F181" s="5" t="s">
        <v>14</v>
      </c>
      <c r="G181" s="6">
        <v>26250</v>
      </c>
      <c r="H181" s="177" t="str">
        <f>HYPERLINK("https://adv-map.ru/place/?LINK=8235edd0b8c47c60ac933ba2bc0013a4","Ссылка")</f>
        <v>Ссылка</v>
      </c>
      <c r="I181" s="5" t="s">
        <v>233</v>
      </c>
    </row>
    <row r="182" spans="1:9" s="4" customFormat="1" ht="38.1" customHeight="1" outlineLevel="1" x14ac:dyDescent="0.2">
      <c r="A182" s="5" t="s">
        <v>183</v>
      </c>
      <c r="B182" s="5" t="s">
        <v>225</v>
      </c>
      <c r="C182" s="5" t="s">
        <v>232</v>
      </c>
      <c r="D182" s="5" t="s">
        <v>12</v>
      </c>
      <c r="E182" s="5" t="s">
        <v>13</v>
      </c>
      <c r="F182" s="5" t="s">
        <v>16</v>
      </c>
      <c r="G182" s="6">
        <v>21000</v>
      </c>
      <c r="H182" s="178" t="str">
        <f>HYPERLINK("https://adv-map.ru/place/?LINK=88eea5a9b504bb7dd73db97ff16f5653","Ссылка")</f>
        <v>Ссылка</v>
      </c>
      <c r="I182" s="5" t="s">
        <v>233</v>
      </c>
    </row>
    <row r="183" spans="1:9" s="4" customFormat="1" ht="38.1" customHeight="1" outlineLevel="1" x14ac:dyDescent="0.2">
      <c r="A183" s="5" t="s">
        <v>183</v>
      </c>
      <c r="B183" s="5" t="s">
        <v>225</v>
      </c>
      <c r="C183" s="5" t="s">
        <v>234</v>
      </c>
      <c r="D183" s="5" t="s">
        <v>12</v>
      </c>
      <c r="E183" s="5" t="s">
        <v>13</v>
      </c>
      <c r="F183" s="5" t="s">
        <v>14</v>
      </c>
      <c r="G183" s="6">
        <v>26250</v>
      </c>
      <c r="H183" s="179" t="str">
        <f>HYPERLINK("https://adv-map.ru/place/?LINK=0ee893726643a38148da920aa7738c36","Ссылка")</f>
        <v>Ссылка</v>
      </c>
      <c r="I183" s="5" t="s">
        <v>235</v>
      </c>
    </row>
    <row r="184" spans="1:9" s="4" customFormat="1" ht="38.1" customHeight="1" outlineLevel="1" x14ac:dyDescent="0.2">
      <c r="A184" s="5" t="s">
        <v>183</v>
      </c>
      <c r="B184" s="5" t="s">
        <v>225</v>
      </c>
      <c r="C184" s="5" t="s">
        <v>234</v>
      </c>
      <c r="D184" s="5" t="s">
        <v>12</v>
      </c>
      <c r="E184" s="5" t="s">
        <v>13</v>
      </c>
      <c r="F184" s="5" t="s">
        <v>16</v>
      </c>
      <c r="G184" s="6">
        <v>21000</v>
      </c>
      <c r="H184" s="180" t="str">
        <f>HYPERLINK("https://adv-map.ru/place/?LINK=9e7717af9b9ccf36f06f2cc11b50f590","Ссылка")</f>
        <v>Ссылка</v>
      </c>
      <c r="I184" s="5" t="s">
        <v>235</v>
      </c>
    </row>
    <row r="185" spans="1:9" s="4" customFormat="1" ht="51" customHeight="1" outlineLevel="1" x14ac:dyDescent="0.2">
      <c r="A185" s="5" t="s">
        <v>183</v>
      </c>
      <c r="B185" s="5" t="s">
        <v>225</v>
      </c>
      <c r="C185" s="5" t="s">
        <v>236</v>
      </c>
      <c r="D185" s="5" t="s">
        <v>12</v>
      </c>
      <c r="E185" s="5" t="s">
        <v>13</v>
      </c>
      <c r="F185" s="5" t="s">
        <v>14</v>
      </c>
      <c r="G185" s="6">
        <v>26250</v>
      </c>
      <c r="H185" s="181" t="str">
        <f>HYPERLINK("https://adv-map.ru/place/?LINK=ea3c996c4e5c0dbe598178189701a17b","Ссылка")</f>
        <v>Ссылка</v>
      </c>
      <c r="I185" s="5" t="s">
        <v>237</v>
      </c>
    </row>
    <row r="186" spans="1:9" s="4" customFormat="1" ht="38.1" customHeight="1" outlineLevel="1" x14ac:dyDescent="0.2">
      <c r="A186" s="5" t="s">
        <v>183</v>
      </c>
      <c r="B186" s="5" t="s">
        <v>225</v>
      </c>
      <c r="C186" s="5" t="s">
        <v>238</v>
      </c>
      <c r="D186" s="5" t="s">
        <v>12</v>
      </c>
      <c r="E186" s="5" t="s">
        <v>13</v>
      </c>
      <c r="F186" s="5" t="s">
        <v>14</v>
      </c>
      <c r="G186" s="6">
        <v>26250</v>
      </c>
      <c r="H186" s="182" t="str">
        <f>HYPERLINK("https://adv-map.ru/place/?LINK=240b96feb3def984080429d4323797a3","Ссылка")</f>
        <v>Ссылка</v>
      </c>
      <c r="I186" s="5" t="s">
        <v>239</v>
      </c>
    </row>
    <row r="187" spans="1:9" s="4" customFormat="1" ht="38.1" customHeight="1" outlineLevel="1" x14ac:dyDescent="0.2">
      <c r="A187" s="5" t="s">
        <v>183</v>
      </c>
      <c r="B187" s="5" t="s">
        <v>225</v>
      </c>
      <c r="C187" s="5" t="s">
        <v>240</v>
      </c>
      <c r="D187" s="5" t="s">
        <v>12</v>
      </c>
      <c r="E187" s="5" t="s">
        <v>13</v>
      </c>
      <c r="F187" s="5" t="s">
        <v>14</v>
      </c>
      <c r="G187" s="6">
        <v>29400</v>
      </c>
      <c r="H187" s="183" t="str">
        <f>HYPERLINK("https://adv-map.ru/place/?LINK=6ed8e4c08df469017284dc01a843e352","Ссылка")</f>
        <v>Ссылка</v>
      </c>
      <c r="I187" s="5" t="s">
        <v>241</v>
      </c>
    </row>
    <row r="188" spans="1:9" s="4" customFormat="1" ht="38.1" customHeight="1" outlineLevel="1" x14ac:dyDescent="0.2">
      <c r="A188" s="5" t="s">
        <v>183</v>
      </c>
      <c r="B188" s="5" t="s">
        <v>225</v>
      </c>
      <c r="C188" s="5" t="s">
        <v>240</v>
      </c>
      <c r="D188" s="5" t="s">
        <v>12</v>
      </c>
      <c r="E188" s="5" t="s">
        <v>13</v>
      </c>
      <c r="F188" s="5" t="s">
        <v>16</v>
      </c>
      <c r="G188" s="6">
        <v>23100</v>
      </c>
      <c r="H188" s="184" t="str">
        <f>HYPERLINK("https://adv-map.ru/place/?LINK=88251669605878c54c07ef8e1e59aaf9","Ссылка")</f>
        <v>Ссылка</v>
      </c>
      <c r="I188" s="5" t="s">
        <v>241</v>
      </c>
    </row>
    <row r="189" spans="1:9" s="4" customFormat="1" ht="38.1" customHeight="1" outlineLevel="1" x14ac:dyDescent="0.2">
      <c r="A189" s="5" t="s">
        <v>183</v>
      </c>
      <c r="B189" s="5" t="s">
        <v>225</v>
      </c>
      <c r="C189" s="5" t="s">
        <v>242</v>
      </c>
      <c r="D189" s="5" t="s">
        <v>12</v>
      </c>
      <c r="E189" s="5" t="s">
        <v>13</v>
      </c>
      <c r="F189" s="5" t="s">
        <v>14</v>
      </c>
      <c r="G189" s="6">
        <v>26250</v>
      </c>
      <c r="H189" s="185" t="str">
        <f>HYPERLINK("https://adv-map.ru/place/?LINK=f5a3430e340e60735f50e792fed2b8be","Ссылка")</f>
        <v>Ссылка</v>
      </c>
      <c r="I189" s="5" t="s">
        <v>243</v>
      </c>
    </row>
    <row r="190" spans="1:9" s="4" customFormat="1" ht="38.1" customHeight="1" outlineLevel="1" x14ac:dyDescent="0.2">
      <c r="A190" s="5" t="s">
        <v>183</v>
      </c>
      <c r="B190" s="5" t="s">
        <v>225</v>
      </c>
      <c r="C190" s="5" t="s">
        <v>242</v>
      </c>
      <c r="D190" s="5" t="s">
        <v>12</v>
      </c>
      <c r="E190" s="5" t="s">
        <v>13</v>
      </c>
      <c r="F190" s="5" t="s">
        <v>16</v>
      </c>
      <c r="G190" s="6">
        <v>12600</v>
      </c>
      <c r="H190" s="186" t="str">
        <f>HYPERLINK("https://adv-map.ru/place/?LINK=821367c73c0088ecb4c5459b37725b65","Ссылка")</f>
        <v>Ссылка</v>
      </c>
      <c r="I190" s="5" t="s">
        <v>243</v>
      </c>
    </row>
    <row r="191" spans="1:9" s="4" customFormat="1" ht="38.1" customHeight="1" outlineLevel="1" x14ac:dyDescent="0.2">
      <c r="A191" s="5" t="s">
        <v>183</v>
      </c>
      <c r="B191" s="5" t="s">
        <v>225</v>
      </c>
      <c r="C191" s="5" t="s">
        <v>244</v>
      </c>
      <c r="D191" s="5" t="s">
        <v>12</v>
      </c>
      <c r="E191" s="5" t="s">
        <v>13</v>
      </c>
      <c r="F191" s="5" t="s">
        <v>14</v>
      </c>
      <c r="G191" s="6">
        <v>33600</v>
      </c>
      <c r="H191" s="187" t="str">
        <f>HYPERLINK("https://adv-map.ru/place/?LINK=9a501a2d0f9e03ddea5e50eb82617f43","Ссылка")</f>
        <v>Ссылка</v>
      </c>
      <c r="I191" s="5" t="s">
        <v>245</v>
      </c>
    </row>
    <row r="192" spans="1:9" s="4" customFormat="1" ht="38.1" customHeight="1" outlineLevel="1" x14ac:dyDescent="0.2">
      <c r="A192" s="5" t="s">
        <v>183</v>
      </c>
      <c r="B192" s="5" t="s">
        <v>225</v>
      </c>
      <c r="C192" s="5" t="s">
        <v>244</v>
      </c>
      <c r="D192" s="5" t="s">
        <v>12</v>
      </c>
      <c r="E192" s="5" t="s">
        <v>13</v>
      </c>
      <c r="F192" s="5" t="s">
        <v>16</v>
      </c>
      <c r="G192" s="6">
        <v>18900</v>
      </c>
      <c r="H192" s="188" t="str">
        <f>HYPERLINK("https://adv-map.ru/place/?LINK=012670d382c10b9b71742fd0a0ab4410","Ссылка")</f>
        <v>Ссылка</v>
      </c>
      <c r="I192" s="5" t="s">
        <v>245</v>
      </c>
    </row>
    <row r="193" spans="1:9" s="4" customFormat="1" ht="51" customHeight="1" outlineLevel="1" x14ac:dyDescent="0.2">
      <c r="A193" s="5" t="s">
        <v>183</v>
      </c>
      <c r="B193" s="5" t="s">
        <v>134</v>
      </c>
      <c r="C193" s="5" t="s">
        <v>246</v>
      </c>
      <c r="D193" s="5" t="s">
        <v>12</v>
      </c>
      <c r="E193" s="5" t="s">
        <v>13</v>
      </c>
      <c r="F193" s="5" t="s">
        <v>16</v>
      </c>
      <c r="G193" s="6">
        <v>31500</v>
      </c>
      <c r="H193" s="189" t="str">
        <f>HYPERLINK("https://adv-map.ru/place/?LINK=1ed191874b7944b220600019671d2eb0","Ссылка")</f>
        <v>Ссылка</v>
      </c>
      <c r="I193" s="5" t="s">
        <v>247</v>
      </c>
    </row>
    <row r="194" spans="1:9" s="4" customFormat="1" ht="38.1" customHeight="1" outlineLevel="1" x14ac:dyDescent="0.2">
      <c r="A194" s="5" t="s">
        <v>183</v>
      </c>
      <c r="B194" s="5" t="s">
        <v>134</v>
      </c>
      <c r="C194" s="5" t="s">
        <v>248</v>
      </c>
      <c r="D194" s="5" t="s">
        <v>12</v>
      </c>
      <c r="E194" s="5" t="s">
        <v>13</v>
      </c>
      <c r="F194" s="5" t="s">
        <v>14</v>
      </c>
      <c r="G194" s="6">
        <v>31500</v>
      </c>
      <c r="H194" s="190" t="str">
        <f>HYPERLINK("https://adv-map.ru/place/?LINK=592143a3b87b8e1dbc544074e356be38","Ссылка")</f>
        <v>Ссылка</v>
      </c>
      <c r="I194" s="5" t="s">
        <v>247</v>
      </c>
    </row>
    <row r="195" spans="1:9" s="4" customFormat="1" ht="38.1" customHeight="1" outlineLevel="1" x14ac:dyDescent="0.2">
      <c r="A195" s="5" t="s">
        <v>183</v>
      </c>
      <c r="B195" s="5" t="s">
        <v>134</v>
      </c>
      <c r="C195" s="5" t="s">
        <v>249</v>
      </c>
      <c r="D195" s="5" t="s">
        <v>12</v>
      </c>
      <c r="E195" s="5" t="s">
        <v>13</v>
      </c>
      <c r="F195" s="5" t="s">
        <v>14</v>
      </c>
      <c r="G195" s="6">
        <v>26250</v>
      </c>
      <c r="H195" s="191" t="str">
        <f>HYPERLINK("https://adv-map.ru/place/?LINK=b2b7d19d5148a4c9cd24a9fe2ffc6c20","Ссылка")</f>
        <v>Ссылка</v>
      </c>
      <c r="I195" s="5" t="s">
        <v>250</v>
      </c>
    </row>
    <row r="196" spans="1:9" s="4" customFormat="1" ht="38.1" customHeight="1" outlineLevel="1" x14ac:dyDescent="0.2">
      <c r="A196" s="5" t="s">
        <v>183</v>
      </c>
      <c r="B196" s="5" t="s">
        <v>134</v>
      </c>
      <c r="C196" s="5" t="s">
        <v>249</v>
      </c>
      <c r="D196" s="5" t="s">
        <v>12</v>
      </c>
      <c r="E196" s="5" t="s">
        <v>13</v>
      </c>
      <c r="F196" s="5" t="s">
        <v>16</v>
      </c>
      <c r="G196" s="6">
        <v>21000</v>
      </c>
      <c r="H196" s="192" t="str">
        <f>HYPERLINK("https://adv-map.ru/place/?LINK=f594b945445d089ded59c57aed863d7a","Ссылка")</f>
        <v>Ссылка</v>
      </c>
      <c r="I196" s="5" t="s">
        <v>250</v>
      </c>
    </row>
    <row r="197" spans="1:9" s="4" customFormat="1" ht="38.1" customHeight="1" outlineLevel="1" x14ac:dyDescent="0.2">
      <c r="A197" s="5" t="s">
        <v>183</v>
      </c>
      <c r="B197" s="5" t="s">
        <v>23</v>
      </c>
      <c r="C197" s="5" t="s">
        <v>251</v>
      </c>
      <c r="D197" s="5" t="s">
        <v>12</v>
      </c>
      <c r="E197" s="5" t="s">
        <v>13</v>
      </c>
      <c r="F197" s="5" t="s">
        <v>14</v>
      </c>
      <c r="G197" s="6">
        <v>26250</v>
      </c>
      <c r="H197" s="193" t="str">
        <f>HYPERLINK("https://adv-map.ru/place/?LINK=4ff872beb4732e6523d1a9cd8bee7f79","Ссылка")</f>
        <v>Ссылка</v>
      </c>
      <c r="I197" s="5" t="s">
        <v>252</v>
      </c>
    </row>
    <row r="198" spans="1:9" s="4" customFormat="1" ht="38.1" customHeight="1" outlineLevel="1" x14ac:dyDescent="0.2">
      <c r="A198" s="5" t="s">
        <v>183</v>
      </c>
      <c r="B198" s="5" t="s">
        <v>23</v>
      </c>
      <c r="C198" s="5" t="s">
        <v>253</v>
      </c>
      <c r="D198" s="5" t="s">
        <v>12</v>
      </c>
      <c r="E198" s="5" t="s">
        <v>13</v>
      </c>
      <c r="F198" s="5" t="s">
        <v>14</v>
      </c>
      <c r="G198" s="6">
        <v>21000</v>
      </c>
      <c r="H198" s="194" t="str">
        <f>HYPERLINK("https://adv-map.ru/place/?LINK=1c188b072d04efa8d0e891699ee0c416","Ссылка")</f>
        <v>Ссылка</v>
      </c>
      <c r="I198" s="5" t="s">
        <v>254</v>
      </c>
    </row>
    <row r="199" spans="1:9" s="4" customFormat="1" ht="38.1" customHeight="1" outlineLevel="1" x14ac:dyDescent="0.2">
      <c r="A199" s="5" t="s">
        <v>183</v>
      </c>
      <c r="B199" s="5" t="s">
        <v>23</v>
      </c>
      <c r="C199" s="5" t="s">
        <v>253</v>
      </c>
      <c r="D199" s="5" t="s">
        <v>12</v>
      </c>
      <c r="E199" s="5" t="s">
        <v>13</v>
      </c>
      <c r="F199" s="5" t="s">
        <v>16</v>
      </c>
      <c r="G199" s="6">
        <v>16800</v>
      </c>
      <c r="H199" s="195" t="str">
        <f>HYPERLINK("https://adv-map.ru/place/?LINK=e9c6298805d759d033c38ec8cd3a91d3","Ссылка")</f>
        <v>Ссылка</v>
      </c>
      <c r="I199" s="5" t="s">
        <v>254</v>
      </c>
    </row>
    <row r="200" spans="1:9" s="4" customFormat="1" ht="38.1" customHeight="1" outlineLevel="1" x14ac:dyDescent="0.2">
      <c r="A200" s="5" t="s">
        <v>183</v>
      </c>
      <c r="B200" s="5" t="s">
        <v>255</v>
      </c>
      <c r="C200" s="5" t="s">
        <v>256</v>
      </c>
      <c r="D200" s="5" t="s">
        <v>12</v>
      </c>
      <c r="E200" s="5" t="s">
        <v>13</v>
      </c>
      <c r="F200" s="5" t="s">
        <v>14</v>
      </c>
      <c r="G200" s="6">
        <v>21000</v>
      </c>
      <c r="H200" s="196" t="str">
        <f>HYPERLINK("https://adv-map.ru/place/?LINK=6cbae0bf7164cee889a2766b067aa20f","Ссылка")</f>
        <v>Ссылка</v>
      </c>
      <c r="I200" s="5" t="s">
        <v>257</v>
      </c>
    </row>
    <row r="201" spans="1:9" s="4" customFormat="1" ht="38.1" customHeight="1" outlineLevel="1" x14ac:dyDescent="0.2">
      <c r="A201" s="5" t="s">
        <v>183</v>
      </c>
      <c r="B201" s="5" t="s">
        <v>255</v>
      </c>
      <c r="C201" s="5" t="s">
        <v>256</v>
      </c>
      <c r="D201" s="5" t="s">
        <v>12</v>
      </c>
      <c r="E201" s="5" t="s">
        <v>13</v>
      </c>
      <c r="F201" s="5" t="s">
        <v>16</v>
      </c>
      <c r="G201" s="6">
        <v>16800</v>
      </c>
      <c r="H201" s="197" t="str">
        <f>HYPERLINK("https://adv-map.ru/place/?LINK=12d9cc6f68efe86cfc749a3a65b4e0a1","Ссылка")</f>
        <v>Ссылка</v>
      </c>
      <c r="I201" s="5" t="s">
        <v>257</v>
      </c>
    </row>
    <row r="202" spans="1:9" s="4" customFormat="1" ht="38.1" customHeight="1" outlineLevel="1" x14ac:dyDescent="0.2">
      <c r="A202" s="5" t="s">
        <v>183</v>
      </c>
      <c r="B202" s="5" t="s">
        <v>134</v>
      </c>
      <c r="C202" s="5" t="s">
        <v>258</v>
      </c>
      <c r="D202" s="5" t="s">
        <v>12</v>
      </c>
      <c r="E202" s="5" t="s">
        <v>13</v>
      </c>
      <c r="F202" s="5" t="s">
        <v>14</v>
      </c>
      <c r="G202" s="6">
        <v>26250</v>
      </c>
      <c r="H202" s="198" t="str">
        <f>HYPERLINK("https://adv-map.ru/place/?LINK=570e71f47ff1725dd87117369b17ae1f","Ссылка")</f>
        <v>Ссылка</v>
      </c>
      <c r="I202" s="5" t="s">
        <v>259</v>
      </c>
    </row>
    <row r="203" spans="1:9" s="4" customFormat="1" ht="38.1" customHeight="1" outlineLevel="1" x14ac:dyDescent="0.2">
      <c r="A203" s="5" t="s">
        <v>183</v>
      </c>
      <c r="B203" s="5" t="s">
        <v>134</v>
      </c>
      <c r="C203" s="5" t="s">
        <v>258</v>
      </c>
      <c r="D203" s="5" t="s">
        <v>12</v>
      </c>
      <c r="E203" s="5" t="s">
        <v>13</v>
      </c>
      <c r="F203" s="5" t="s">
        <v>16</v>
      </c>
      <c r="G203" s="6">
        <v>21000</v>
      </c>
      <c r="H203" s="199" t="str">
        <f>HYPERLINK("https://adv-map.ru/place/?LINK=10fbef733f4fc1ee7e48088a41efb2a1","Ссылка")</f>
        <v>Ссылка</v>
      </c>
      <c r="I203" s="5" t="s">
        <v>259</v>
      </c>
    </row>
    <row r="204" spans="1:9" s="4" customFormat="1" ht="38.1" customHeight="1" outlineLevel="1" x14ac:dyDescent="0.2">
      <c r="A204" s="5" t="s">
        <v>183</v>
      </c>
      <c r="B204" s="5" t="s">
        <v>134</v>
      </c>
      <c r="C204" s="5" t="s">
        <v>260</v>
      </c>
      <c r="D204" s="5" t="s">
        <v>12</v>
      </c>
      <c r="E204" s="5" t="s">
        <v>13</v>
      </c>
      <c r="F204" s="5" t="s">
        <v>14</v>
      </c>
      <c r="G204" s="6">
        <v>26250</v>
      </c>
      <c r="H204" s="200" t="str">
        <f>HYPERLINK("https://adv-map.ru/place/?LINK=be384e922344e73982208a8af5300191","Ссылка")</f>
        <v>Ссылка</v>
      </c>
      <c r="I204" s="5" t="s">
        <v>261</v>
      </c>
    </row>
    <row r="205" spans="1:9" s="4" customFormat="1" ht="38.1" customHeight="1" outlineLevel="1" x14ac:dyDescent="0.2">
      <c r="A205" s="5" t="s">
        <v>183</v>
      </c>
      <c r="B205" s="5" t="s">
        <v>134</v>
      </c>
      <c r="C205" s="5" t="s">
        <v>260</v>
      </c>
      <c r="D205" s="5" t="s">
        <v>12</v>
      </c>
      <c r="E205" s="5" t="s">
        <v>13</v>
      </c>
      <c r="F205" s="5" t="s">
        <v>16</v>
      </c>
      <c r="G205" s="6">
        <v>21000</v>
      </c>
      <c r="H205" s="201" t="str">
        <f>HYPERLINK("https://adv-map.ru/place/?LINK=f431de8d5fb41a86c84c04ba5ecc35a2","Ссылка")</f>
        <v>Ссылка</v>
      </c>
      <c r="I205" s="5" t="s">
        <v>261</v>
      </c>
    </row>
    <row r="206" spans="1:9" s="4" customFormat="1" ht="38.1" customHeight="1" outlineLevel="1" x14ac:dyDescent="0.2">
      <c r="A206" s="5" t="s">
        <v>183</v>
      </c>
      <c r="B206" s="5" t="s">
        <v>134</v>
      </c>
      <c r="C206" s="5" t="s">
        <v>262</v>
      </c>
      <c r="D206" s="5" t="s">
        <v>12</v>
      </c>
      <c r="E206" s="5" t="s">
        <v>13</v>
      </c>
      <c r="F206" s="5" t="s">
        <v>14</v>
      </c>
      <c r="G206" s="6">
        <v>26250</v>
      </c>
      <c r="H206" s="202" t="str">
        <f>HYPERLINK("https://adv-map.ru/place/?LINK=177d44f5ef98eb877f0f58193cab45cb","Ссылка")</f>
        <v>Ссылка</v>
      </c>
      <c r="I206" s="5" t="s">
        <v>263</v>
      </c>
    </row>
    <row r="207" spans="1:9" s="4" customFormat="1" ht="38.1" customHeight="1" outlineLevel="1" x14ac:dyDescent="0.2">
      <c r="A207" s="5" t="s">
        <v>183</v>
      </c>
      <c r="B207" s="5" t="s">
        <v>134</v>
      </c>
      <c r="C207" s="5" t="s">
        <v>262</v>
      </c>
      <c r="D207" s="5" t="s">
        <v>12</v>
      </c>
      <c r="E207" s="5" t="s">
        <v>13</v>
      </c>
      <c r="F207" s="5" t="s">
        <v>16</v>
      </c>
      <c r="G207" s="6">
        <v>21000</v>
      </c>
      <c r="H207" s="203" t="str">
        <f>HYPERLINK("https://adv-map.ru/place/?LINK=1194689f665cd823e61a56914dd4488b","Ссылка")</f>
        <v>Ссылка</v>
      </c>
      <c r="I207" s="5" t="s">
        <v>263</v>
      </c>
    </row>
    <row r="208" spans="1:9" s="4" customFormat="1" ht="38.1" customHeight="1" outlineLevel="1" x14ac:dyDescent="0.2">
      <c r="A208" s="5" t="s">
        <v>183</v>
      </c>
      <c r="B208" s="5" t="s">
        <v>134</v>
      </c>
      <c r="C208" s="5" t="s">
        <v>264</v>
      </c>
      <c r="D208" s="5" t="s">
        <v>12</v>
      </c>
      <c r="E208" s="5" t="s">
        <v>13</v>
      </c>
      <c r="F208" s="5" t="s">
        <v>14</v>
      </c>
      <c r="G208" s="6">
        <v>21000</v>
      </c>
      <c r="H208" s="204" t="str">
        <f>HYPERLINK("https://adv-map.ru/place/?LINK=ed069d7740e80c064de8c2a5e8192925","Ссылка")</f>
        <v>Ссылка</v>
      </c>
      <c r="I208" s="5" t="s">
        <v>265</v>
      </c>
    </row>
    <row r="209" spans="1:9" s="4" customFormat="1" ht="38.1" customHeight="1" outlineLevel="1" x14ac:dyDescent="0.2">
      <c r="A209" s="5" t="s">
        <v>183</v>
      </c>
      <c r="B209" s="5" t="s">
        <v>134</v>
      </c>
      <c r="C209" s="5" t="s">
        <v>264</v>
      </c>
      <c r="D209" s="5" t="s">
        <v>12</v>
      </c>
      <c r="E209" s="5" t="s">
        <v>13</v>
      </c>
      <c r="F209" s="5" t="s">
        <v>16</v>
      </c>
      <c r="G209" s="6">
        <v>16800</v>
      </c>
      <c r="H209" s="205" t="str">
        <f>HYPERLINK("https://adv-map.ru/place/?LINK=f7108dbbef54218e99452a627a533b5f","Ссылка")</f>
        <v>Ссылка</v>
      </c>
      <c r="I209" s="5" t="s">
        <v>265</v>
      </c>
    </row>
    <row r="210" spans="1:9" s="4" customFormat="1" ht="38.1" customHeight="1" outlineLevel="1" x14ac:dyDescent="0.2">
      <c r="A210" s="5" t="s">
        <v>183</v>
      </c>
      <c r="B210" s="5" t="s">
        <v>266</v>
      </c>
      <c r="C210" s="5" t="s">
        <v>267</v>
      </c>
      <c r="D210" s="5" t="s">
        <v>12</v>
      </c>
      <c r="E210" s="5" t="s">
        <v>13</v>
      </c>
      <c r="F210" s="5" t="s">
        <v>16</v>
      </c>
      <c r="G210" s="6">
        <v>16800</v>
      </c>
      <c r="H210" s="206" t="str">
        <f>HYPERLINK("https://adv-map.ru/place/?LINK=ccd6e53a5d643d8bf751a555dfa92ef7","Ссылка")</f>
        <v>Ссылка</v>
      </c>
      <c r="I210" s="5" t="s">
        <v>268</v>
      </c>
    </row>
    <row r="211" spans="1:9" s="4" customFormat="1" ht="38.1" customHeight="1" outlineLevel="1" x14ac:dyDescent="0.2">
      <c r="A211" s="5" t="s">
        <v>183</v>
      </c>
      <c r="B211" s="5" t="s">
        <v>266</v>
      </c>
      <c r="C211" s="5" t="s">
        <v>269</v>
      </c>
      <c r="D211" s="5" t="s">
        <v>12</v>
      </c>
      <c r="E211" s="5" t="s">
        <v>13</v>
      </c>
      <c r="F211" s="5" t="s">
        <v>14</v>
      </c>
      <c r="G211" s="6">
        <v>21000</v>
      </c>
      <c r="H211" s="207" t="str">
        <f>HYPERLINK("https://adv-map.ru/place/?LINK=22ad1f622940797ca937c5f39a88aed5","Ссылка")</f>
        <v>Ссылка</v>
      </c>
      <c r="I211" s="5" t="s">
        <v>268</v>
      </c>
    </row>
    <row r="212" spans="1:9" s="4" customFormat="1" ht="38.1" customHeight="1" outlineLevel="1" x14ac:dyDescent="0.2">
      <c r="A212" s="5" t="s">
        <v>183</v>
      </c>
      <c r="B212" s="5" t="s">
        <v>266</v>
      </c>
      <c r="C212" s="5" t="s">
        <v>270</v>
      </c>
      <c r="D212" s="5" t="s">
        <v>12</v>
      </c>
      <c r="E212" s="5" t="s">
        <v>13</v>
      </c>
      <c r="F212" s="5" t="s">
        <v>16</v>
      </c>
      <c r="G212" s="6">
        <v>16800</v>
      </c>
      <c r="H212" s="208" t="str">
        <f>HYPERLINK("https://adv-map.ru/place/?LINK=32fe5255a768b5ba4ecb31eff881f304","Ссылка")</f>
        <v>Ссылка</v>
      </c>
      <c r="I212" s="5" t="s">
        <v>271</v>
      </c>
    </row>
    <row r="213" spans="1:9" s="4" customFormat="1" ht="38.1" customHeight="1" outlineLevel="1" x14ac:dyDescent="0.2">
      <c r="A213" s="5" t="s">
        <v>183</v>
      </c>
      <c r="B213" s="5" t="s">
        <v>266</v>
      </c>
      <c r="C213" s="5" t="s">
        <v>272</v>
      </c>
      <c r="D213" s="5" t="s">
        <v>12</v>
      </c>
      <c r="E213" s="5" t="s">
        <v>13</v>
      </c>
      <c r="F213" s="5" t="s">
        <v>14</v>
      </c>
      <c r="G213" s="6">
        <v>21000</v>
      </c>
      <c r="H213" s="209" t="str">
        <f>HYPERLINK("https://adv-map.ru/place/?LINK=41b8b0a9971194b2550e7b6b10daa24c","Ссылка")</f>
        <v>Ссылка</v>
      </c>
      <c r="I213" s="5" t="s">
        <v>271</v>
      </c>
    </row>
    <row r="214" spans="1:9" s="4" customFormat="1" ht="38.1" customHeight="1" outlineLevel="1" x14ac:dyDescent="0.2">
      <c r="A214" s="5" t="s">
        <v>183</v>
      </c>
      <c r="B214" s="5" t="s">
        <v>222</v>
      </c>
      <c r="C214" s="5" t="s">
        <v>273</v>
      </c>
      <c r="D214" s="5" t="s">
        <v>12</v>
      </c>
      <c r="E214" s="5" t="s">
        <v>13</v>
      </c>
      <c r="F214" s="5" t="s">
        <v>14</v>
      </c>
      <c r="G214" s="6">
        <v>21000</v>
      </c>
      <c r="H214" s="210" t="str">
        <f>HYPERLINK("https://adv-map.ru/place/?LINK=d09b7fb26a21fdb14fd7fa58ed351dc9","Ссылка")</f>
        <v>Ссылка</v>
      </c>
      <c r="I214" s="5" t="s">
        <v>274</v>
      </c>
    </row>
    <row r="215" spans="1:9" s="4" customFormat="1" ht="38.1" customHeight="1" outlineLevel="1" x14ac:dyDescent="0.2">
      <c r="A215" s="5" t="s">
        <v>183</v>
      </c>
      <c r="B215" s="5" t="s">
        <v>222</v>
      </c>
      <c r="C215" s="5" t="s">
        <v>273</v>
      </c>
      <c r="D215" s="5" t="s">
        <v>12</v>
      </c>
      <c r="E215" s="5" t="s">
        <v>13</v>
      </c>
      <c r="F215" s="5" t="s">
        <v>16</v>
      </c>
      <c r="G215" s="6">
        <v>16800</v>
      </c>
      <c r="H215" s="211" t="str">
        <f>HYPERLINK("https://adv-map.ru/place/?LINK=2e1f369a68318771b32a49111f1851cc","Ссылка")</f>
        <v>Ссылка</v>
      </c>
      <c r="I215" s="5" t="s">
        <v>275</v>
      </c>
    </row>
    <row r="216" spans="1:9" s="4" customFormat="1" ht="38.1" customHeight="1" outlineLevel="1" x14ac:dyDescent="0.2">
      <c r="A216" s="5" t="s">
        <v>183</v>
      </c>
      <c r="B216" s="5" t="s">
        <v>23</v>
      </c>
      <c r="C216" s="5" t="s">
        <v>276</v>
      </c>
      <c r="D216" s="5" t="s">
        <v>12</v>
      </c>
      <c r="E216" s="5" t="s">
        <v>13</v>
      </c>
      <c r="F216" s="5" t="s">
        <v>14</v>
      </c>
      <c r="G216" s="6">
        <v>21000</v>
      </c>
      <c r="H216" s="212" t="str">
        <f>HYPERLINK("https://adv-map.ru/place/?LINK=2fdbf708679f8a900af3ba8f63f99dbd","Ссылка")</f>
        <v>Ссылка</v>
      </c>
      <c r="I216" s="5" t="s">
        <v>277</v>
      </c>
    </row>
    <row r="217" spans="1:9" s="4" customFormat="1" ht="38.1" customHeight="1" outlineLevel="1" x14ac:dyDescent="0.2">
      <c r="A217" s="5" t="s">
        <v>183</v>
      </c>
      <c r="B217" s="5" t="s">
        <v>23</v>
      </c>
      <c r="C217" s="5" t="s">
        <v>276</v>
      </c>
      <c r="D217" s="5" t="s">
        <v>12</v>
      </c>
      <c r="E217" s="5" t="s">
        <v>13</v>
      </c>
      <c r="F217" s="5" t="s">
        <v>16</v>
      </c>
      <c r="G217" s="6">
        <v>14700</v>
      </c>
      <c r="H217" s="213" t="str">
        <f>HYPERLINK("https://adv-map.ru/place/?LINK=8ec11ba0f2d0e4f606dec7b89a206d58","Ссылка")</f>
        <v>Ссылка</v>
      </c>
      <c r="I217" s="5" t="s">
        <v>277</v>
      </c>
    </row>
    <row r="218" spans="1:9" s="4" customFormat="1" ht="38.1" customHeight="1" outlineLevel="1" x14ac:dyDescent="0.2">
      <c r="A218" s="5" t="s">
        <v>183</v>
      </c>
      <c r="B218" s="5" t="s">
        <v>23</v>
      </c>
      <c r="C218" s="5" t="s">
        <v>278</v>
      </c>
      <c r="D218" s="5" t="s">
        <v>12</v>
      </c>
      <c r="E218" s="5" t="s">
        <v>13</v>
      </c>
      <c r="F218" s="5" t="s">
        <v>14</v>
      </c>
      <c r="G218" s="6">
        <v>21000</v>
      </c>
      <c r="H218" s="214" t="str">
        <f>HYPERLINK("https://adv-map.ru/place/?LINK=51b7fcf56b81feadd561ecf6b6623a02","Ссылка")</f>
        <v>Ссылка</v>
      </c>
      <c r="I218" s="5" t="s">
        <v>279</v>
      </c>
    </row>
    <row r="219" spans="1:9" s="4" customFormat="1" ht="38.1" customHeight="1" outlineLevel="1" x14ac:dyDescent="0.2">
      <c r="A219" s="5" t="s">
        <v>183</v>
      </c>
      <c r="B219" s="5" t="s">
        <v>23</v>
      </c>
      <c r="C219" s="5" t="s">
        <v>278</v>
      </c>
      <c r="D219" s="5" t="s">
        <v>12</v>
      </c>
      <c r="E219" s="5" t="s">
        <v>13</v>
      </c>
      <c r="F219" s="5" t="s">
        <v>16</v>
      </c>
      <c r="G219" s="6">
        <v>16800</v>
      </c>
      <c r="H219" s="215" t="str">
        <f>HYPERLINK("https://adv-map.ru/place/?LINK=a9483b833c61b5b179e9cb0cb67f1c89","Ссылка")</f>
        <v>Ссылка</v>
      </c>
      <c r="I219" s="5" t="s">
        <v>280</v>
      </c>
    </row>
    <row r="220" spans="1:9" s="4" customFormat="1" ht="38.1" customHeight="1" outlineLevel="1" x14ac:dyDescent="0.2">
      <c r="A220" s="5" t="s">
        <v>183</v>
      </c>
      <c r="B220" s="5" t="s">
        <v>222</v>
      </c>
      <c r="C220" s="5" t="s">
        <v>281</v>
      </c>
      <c r="D220" s="5" t="s">
        <v>12</v>
      </c>
      <c r="E220" s="5" t="s">
        <v>13</v>
      </c>
      <c r="F220" s="5" t="s">
        <v>14</v>
      </c>
      <c r="G220" s="6">
        <v>21000</v>
      </c>
      <c r="H220" s="216" t="str">
        <f>HYPERLINK("https://adv-map.ru/place/?LINK=d1c83caa6a8e0df3c8afdcee20d1c2e7","Ссылка")</f>
        <v>Ссылка</v>
      </c>
      <c r="I220" s="5" t="s">
        <v>282</v>
      </c>
    </row>
    <row r="221" spans="1:9" s="4" customFormat="1" ht="38.1" customHeight="1" outlineLevel="1" x14ac:dyDescent="0.2">
      <c r="A221" s="5" t="s">
        <v>183</v>
      </c>
      <c r="B221" s="5" t="s">
        <v>222</v>
      </c>
      <c r="C221" s="5" t="s">
        <v>281</v>
      </c>
      <c r="D221" s="5" t="s">
        <v>12</v>
      </c>
      <c r="E221" s="5" t="s">
        <v>13</v>
      </c>
      <c r="F221" s="5" t="s">
        <v>16</v>
      </c>
      <c r="G221" s="6">
        <v>16800</v>
      </c>
      <c r="H221" s="217" t="str">
        <f>HYPERLINK("https://adv-map.ru/place/?LINK=fa50976f2fa60ce9c841d838ee81d21b","Ссылка")</f>
        <v>Ссылка</v>
      </c>
      <c r="I221" s="5" t="s">
        <v>282</v>
      </c>
    </row>
    <row r="222" spans="1:9" s="4" customFormat="1" ht="38.1" customHeight="1" outlineLevel="1" x14ac:dyDescent="0.2">
      <c r="A222" s="5" t="s">
        <v>183</v>
      </c>
      <c r="B222" s="5" t="s">
        <v>266</v>
      </c>
      <c r="C222" s="5" t="s">
        <v>283</v>
      </c>
      <c r="D222" s="5" t="s">
        <v>12</v>
      </c>
      <c r="E222" s="5" t="s">
        <v>13</v>
      </c>
      <c r="F222" s="5" t="s">
        <v>14</v>
      </c>
      <c r="G222" s="6">
        <v>25200</v>
      </c>
      <c r="H222" s="218" t="str">
        <f>HYPERLINK("https://adv-map.ru/place/?LINK=9ba33fb1ceb9c006d26d26f1bc11fba1","Ссылка")</f>
        <v>Ссылка</v>
      </c>
      <c r="I222" s="5" t="s">
        <v>284</v>
      </c>
    </row>
    <row r="223" spans="1:9" s="4" customFormat="1" ht="38.1" customHeight="1" outlineLevel="1" x14ac:dyDescent="0.2">
      <c r="A223" s="5" t="s">
        <v>183</v>
      </c>
      <c r="B223" s="5" t="s">
        <v>266</v>
      </c>
      <c r="C223" s="5" t="s">
        <v>283</v>
      </c>
      <c r="D223" s="5" t="s">
        <v>12</v>
      </c>
      <c r="E223" s="5" t="s">
        <v>13</v>
      </c>
      <c r="F223" s="5" t="s">
        <v>16</v>
      </c>
      <c r="G223" s="6">
        <v>18900</v>
      </c>
      <c r="H223" s="219" t="str">
        <f>HYPERLINK("https://adv-map.ru/place/?LINK=d73935ed0cbea870077f406d592c7a98","Ссылка")</f>
        <v>Ссылка</v>
      </c>
      <c r="I223" s="5" t="s">
        <v>284</v>
      </c>
    </row>
    <row r="224" spans="1:9" s="4" customFormat="1" ht="38.1" customHeight="1" outlineLevel="1" x14ac:dyDescent="0.2">
      <c r="A224" s="5" t="s">
        <v>183</v>
      </c>
      <c r="B224" s="5" t="s">
        <v>266</v>
      </c>
      <c r="C224" s="5" t="s">
        <v>285</v>
      </c>
      <c r="D224" s="5" t="s">
        <v>12</v>
      </c>
      <c r="E224" s="5" t="s">
        <v>13</v>
      </c>
      <c r="F224" s="5" t="s">
        <v>14</v>
      </c>
      <c r="G224" s="6">
        <v>21000</v>
      </c>
      <c r="H224" s="220" t="str">
        <f>HYPERLINK("https://adv-map.ru/place/?LINK=8487b8d03e6213d683ed8c8170e95446","Ссылка")</f>
        <v>Ссылка</v>
      </c>
      <c r="I224" s="5" t="s">
        <v>286</v>
      </c>
    </row>
    <row r="225" spans="1:9" s="4" customFormat="1" ht="38.1" customHeight="1" outlineLevel="1" x14ac:dyDescent="0.2">
      <c r="A225" s="5" t="s">
        <v>183</v>
      </c>
      <c r="B225" s="5" t="s">
        <v>266</v>
      </c>
      <c r="C225" s="5" t="s">
        <v>285</v>
      </c>
      <c r="D225" s="5" t="s">
        <v>12</v>
      </c>
      <c r="E225" s="5" t="s">
        <v>13</v>
      </c>
      <c r="F225" s="5" t="s">
        <v>16</v>
      </c>
      <c r="G225" s="6">
        <v>16800</v>
      </c>
      <c r="H225" s="221" t="str">
        <f>HYPERLINK("https://adv-map.ru/place/?LINK=4cf9917593da2d3a2ca1c78e1295162a","Ссылка")</f>
        <v>Ссылка</v>
      </c>
      <c r="I225" s="5" t="s">
        <v>286</v>
      </c>
    </row>
    <row r="226" spans="1:9" s="4" customFormat="1" ht="38.1" customHeight="1" outlineLevel="1" x14ac:dyDescent="0.2">
      <c r="A226" s="5" t="s">
        <v>183</v>
      </c>
      <c r="B226" s="5" t="s">
        <v>266</v>
      </c>
      <c r="C226" s="5" t="s">
        <v>287</v>
      </c>
      <c r="D226" s="5" t="s">
        <v>12</v>
      </c>
      <c r="E226" s="5" t="s">
        <v>13</v>
      </c>
      <c r="F226" s="5" t="s">
        <v>14</v>
      </c>
      <c r="G226" s="6">
        <v>21000</v>
      </c>
      <c r="H226" s="222" t="str">
        <f>HYPERLINK("https://adv-map.ru/place/?LINK=2f57fc94719627f0eacd41e3073da803","Ссылка")</f>
        <v>Ссылка</v>
      </c>
      <c r="I226" s="5" t="s">
        <v>288</v>
      </c>
    </row>
    <row r="227" spans="1:9" s="4" customFormat="1" ht="38.1" customHeight="1" outlineLevel="1" x14ac:dyDescent="0.2">
      <c r="A227" s="5" t="s">
        <v>183</v>
      </c>
      <c r="B227" s="5" t="s">
        <v>266</v>
      </c>
      <c r="C227" s="5" t="s">
        <v>287</v>
      </c>
      <c r="D227" s="5" t="s">
        <v>12</v>
      </c>
      <c r="E227" s="5" t="s">
        <v>13</v>
      </c>
      <c r="F227" s="5" t="s">
        <v>16</v>
      </c>
      <c r="G227" s="6">
        <v>16800</v>
      </c>
      <c r="H227" s="223" t="str">
        <f>HYPERLINK("https://adv-map.ru/place/?LINK=8121c4dbae93cae5272b7a2552f987da","Ссылка")</f>
        <v>Ссылка</v>
      </c>
      <c r="I227" s="5" t="s">
        <v>288</v>
      </c>
    </row>
    <row r="228" spans="1:9" s="4" customFormat="1" ht="38.1" customHeight="1" outlineLevel="1" x14ac:dyDescent="0.2">
      <c r="A228" s="5" t="s">
        <v>183</v>
      </c>
      <c r="B228" s="5" t="s">
        <v>266</v>
      </c>
      <c r="C228" s="5" t="s">
        <v>289</v>
      </c>
      <c r="D228" s="5" t="s">
        <v>12</v>
      </c>
      <c r="E228" s="5" t="s">
        <v>13</v>
      </c>
      <c r="F228" s="5" t="s">
        <v>14</v>
      </c>
      <c r="G228" s="6">
        <v>21000</v>
      </c>
      <c r="H228" s="224" t="str">
        <f>HYPERLINK("https://adv-map.ru/place/?LINK=8b4bc094aa91b703573510bca6435144","Ссылка")</f>
        <v>Ссылка</v>
      </c>
      <c r="I228" s="5" t="s">
        <v>290</v>
      </c>
    </row>
    <row r="229" spans="1:9" s="4" customFormat="1" ht="38.1" customHeight="1" outlineLevel="1" x14ac:dyDescent="0.2">
      <c r="A229" s="5" t="s">
        <v>183</v>
      </c>
      <c r="B229" s="5" t="s">
        <v>266</v>
      </c>
      <c r="C229" s="5" t="s">
        <v>289</v>
      </c>
      <c r="D229" s="5" t="s">
        <v>12</v>
      </c>
      <c r="E229" s="5" t="s">
        <v>13</v>
      </c>
      <c r="F229" s="5" t="s">
        <v>16</v>
      </c>
      <c r="G229" s="6">
        <v>16800</v>
      </c>
      <c r="H229" s="225" t="str">
        <f>HYPERLINK("https://adv-map.ru/place/?LINK=de6b558ab70c90aca8ee57ebeebc5693","Ссылка")</f>
        <v>Ссылка</v>
      </c>
      <c r="I229" s="5" t="s">
        <v>290</v>
      </c>
    </row>
    <row r="230" spans="1:9" s="4" customFormat="1" ht="51" customHeight="1" outlineLevel="1" x14ac:dyDescent="0.2">
      <c r="A230" s="5" t="s">
        <v>183</v>
      </c>
      <c r="B230" s="5" t="s">
        <v>266</v>
      </c>
      <c r="C230" s="5" t="s">
        <v>291</v>
      </c>
      <c r="D230" s="5" t="s">
        <v>12</v>
      </c>
      <c r="E230" s="5" t="s">
        <v>13</v>
      </c>
      <c r="F230" s="5" t="s">
        <v>14</v>
      </c>
      <c r="G230" s="6">
        <v>21000</v>
      </c>
      <c r="H230" s="226" t="str">
        <f>HYPERLINK("https://adv-map.ru/place/?LINK=499b4c28b2d2ae904d6d5ae546e2b931","Ссылка")</f>
        <v>Ссылка</v>
      </c>
      <c r="I230" s="5" t="s">
        <v>292</v>
      </c>
    </row>
    <row r="231" spans="1:9" s="4" customFormat="1" ht="38.1" customHeight="1" outlineLevel="1" x14ac:dyDescent="0.2">
      <c r="A231" s="5" t="s">
        <v>183</v>
      </c>
      <c r="B231" s="5" t="s">
        <v>266</v>
      </c>
      <c r="C231" s="5" t="s">
        <v>291</v>
      </c>
      <c r="D231" s="5" t="s">
        <v>12</v>
      </c>
      <c r="E231" s="5" t="s">
        <v>13</v>
      </c>
      <c r="F231" s="5" t="s">
        <v>16</v>
      </c>
      <c r="G231" s="6">
        <v>16800</v>
      </c>
      <c r="H231" s="227" t="str">
        <f>HYPERLINK("https://adv-map.ru/place/?LINK=d542a6aee90e4a00f8655e32c553aedd","Ссылка")</f>
        <v>Ссылка</v>
      </c>
      <c r="I231" s="5" t="s">
        <v>292</v>
      </c>
    </row>
    <row r="232" spans="1:9" s="4" customFormat="1" ht="38.1" customHeight="1" outlineLevel="1" x14ac:dyDescent="0.2">
      <c r="A232" s="5" t="s">
        <v>183</v>
      </c>
      <c r="B232" s="5" t="s">
        <v>266</v>
      </c>
      <c r="C232" s="5" t="s">
        <v>293</v>
      </c>
      <c r="D232" s="5" t="s">
        <v>12</v>
      </c>
      <c r="E232" s="5" t="s">
        <v>13</v>
      </c>
      <c r="F232" s="5" t="s">
        <v>14</v>
      </c>
      <c r="G232" s="6">
        <v>21000</v>
      </c>
      <c r="H232" s="228" t="str">
        <f>HYPERLINK("https://adv-map.ru/place/?LINK=db19747c3d9002ae4cf53c34d3b85f0b","Ссылка")</f>
        <v>Ссылка</v>
      </c>
      <c r="I232" s="5" t="s">
        <v>294</v>
      </c>
    </row>
    <row r="233" spans="1:9" s="4" customFormat="1" ht="51" customHeight="1" outlineLevel="1" x14ac:dyDescent="0.2">
      <c r="A233" s="5" t="s">
        <v>183</v>
      </c>
      <c r="B233" s="5" t="s">
        <v>266</v>
      </c>
      <c r="C233" s="5" t="s">
        <v>293</v>
      </c>
      <c r="D233" s="5" t="s">
        <v>12</v>
      </c>
      <c r="E233" s="5" t="s">
        <v>13</v>
      </c>
      <c r="F233" s="5" t="s">
        <v>16</v>
      </c>
      <c r="G233" s="6">
        <v>16800</v>
      </c>
      <c r="H233" s="229" t="str">
        <f>HYPERLINK("https://adv-map.ru/place/?LINK=e833457e2b3771581b4273ba074ed2eb","Ссылка")</f>
        <v>Ссылка</v>
      </c>
      <c r="I233" s="5" t="s">
        <v>294</v>
      </c>
    </row>
    <row r="234" spans="1:9" s="4" customFormat="1" ht="38.1" customHeight="1" outlineLevel="1" x14ac:dyDescent="0.2">
      <c r="A234" s="5" t="s">
        <v>183</v>
      </c>
      <c r="B234" s="5" t="s">
        <v>266</v>
      </c>
      <c r="C234" s="5" t="s">
        <v>295</v>
      </c>
      <c r="D234" s="5" t="s">
        <v>12</v>
      </c>
      <c r="E234" s="5" t="s">
        <v>13</v>
      </c>
      <c r="F234" s="5" t="s">
        <v>14</v>
      </c>
      <c r="G234" s="6">
        <v>21000</v>
      </c>
      <c r="H234" s="230" t="str">
        <f>HYPERLINK("https://adv-map.ru/place/?LINK=ece1c30241f1b90afdcef9648857d30f","Ссылка")</f>
        <v>Ссылка</v>
      </c>
      <c r="I234" s="5" t="s">
        <v>296</v>
      </c>
    </row>
    <row r="235" spans="1:9" s="4" customFormat="1" ht="38.1" customHeight="1" outlineLevel="1" x14ac:dyDescent="0.2">
      <c r="A235" s="5" t="s">
        <v>183</v>
      </c>
      <c r="B235" s="5" t="s">
        <v>266</v>
      </c>
      <c r="C235" s="5" t="s">
        <v>295</v>
      </c>
      <c r="D235" s="5" t="s">
        <v>12</v>
      </c>
      <c r="E235" s="5" t="s">
        <v>13</v>
      </c>
      <c r="F235" s="5" t="s">
        <v>16</v>
      </c>
      <c r="G235" s="6">
        <v>16800</v>
      </c>
      <c r="H235" s="231" t="str">
        <f>HYPERLINK("https://adv-map.ru/place/?LINK=0000356b199d2e7d56d11f59081a0956","Ссылка")</f>
        <v>Ссылка</v>
      </c>
      <c r="I235" s="5" t="s">
        <v>296</v>
      </c>
    </row>
    <row r="236" spans="1:9" s="4" customFormat="1" ht="38.1" customHeight="1" outlineLevel="1" x14ac:dyDescent="0.2">
      <c r="A236" s="5" t="s">
        <v>183</v>
      </c>
      <c r="B236" s="5" t="s">
        <v>134</v>
      </c>
      <c r="C236" s="5" t="s">
        <v>297</v>
      </c>
      <c r="D236" s="5" t="s">
        <v>12</v>
      </c>
      <c r="E236" s="5" t="s">
        <v>13</v>
      </c>
      <c r="F236" s="5" t="s">
        <v>14</v>
      </c>
      <c r="G236" s="6">
        <v>29400</v>
      </c>
      <c r="H236" s="232" t="str">
        <f>HYPERLINK("https://adv-map.ru/place/?LINK=de3565c2fa340ecf461f0820fd39788a","Ссылка")</f>
        <v>Ссылка</v>
      </c>
      <c r="I236" s="5" t="s">
        <v>298</v>
      </c>
    </row>
    <row r="237" spans="1:9" s="4" customFormat="1" ht="38.1" customHeight="1" outlineLevel="1" x14ac:dyDescent="0.2">
      <c r="A237" s="5" t="s">
        <v>183</v>
      </c>
      <c r="B237" s="5" t="s">
        <v>134</v>
      </c>
      <c r="C237" s="5" t="s">
        <v>297</v>
      </c>
      <c r="D237" s="5" t="s">
        <v>12</v>
      </c>
      <c r="E237" s="5" t="s">
        <v>13</v>
      </c>
      <c r="F237" s="5" t="s">
        <v>16</v>
      </c>
      <c r="G237" s="6">
        <v>25200</v>
      </c>
      <c r="H237" s="233" t="str">
        <f>HYPERLINK("https://adv-map.ru/place/?LINK=fde62a77bf7cda8ef72c8a0507fd85c7","Ссылка")</f>
        <v>Ссылка</v>
      </c>
      <c r="I237" s="5" t="s">
        <v>298</v>
      </c>
    </row>
    <row r="238" spans="1:9" s="4" customFormat="1" ht="38.1" customHeight="1" outlineLevel="1" x14ac:dyDescent="0.2">
      <c r="A238" s="5" t="s">
        <v>183</v>
      </c>
      <c r="B238" s="5" t="s">
        <v>23</v>
      </c>
      <c r="C238" s="5" t="s">
        <v>299</v>
      </c>
      <c r="D238" s="5" t="s">
        <v>12</v>
      </c>
      <c r="E238" s="5" t="s">
        <v>13</v>
      </c>
      <c r="F238" s="5" t="s">
        <v>14</v>
      </c>
      <c r="G238" s="6">
        <v>26250</v>
      </c>
      <c r="H238" s="234" t="str">
        <f>HYPERLINK("https://adv-map.ru/place/?LINK=c7279435e81b4c56402028c3926a0ebd","Ссылка")</f>
        <v>Ссылка</v>
      </c>
      <c r="I238" s="5" t="s">
        <v>300</v>
      </c>
    </row>
    <row r="239" spans="1:9" s="4" customFormat="1" ht="38.1" customHeight="1" outlineLevel="1" x14ac:dyDescent="0.2">
      <c r="A239" s="5" t="s">
        <v>183</v>
      </c>
      <c r="B239" s="5" t="s">
        <v>23</v>
      </c>
      <c r="C239" s="5" t="s">
        <v>299</v>
      </c>
      <c r="D239" s="5" t="s">
        <v>12</v>
      </c>
      <c r="E239" s="5" t="s">
        <v>13</v>
      </c>
      <c r="F239" s="5" t="s">
        <v>16</v>
      </c>
      <c r="G239" s="6">
        <v>21000</v>
      </c>
      <c r="H239" s="235" t="str">
        <f>HYPERLINK("https://adv-map.ru/place/?LINK=c6235d97ec56bd673a2cfa5ea05132f7","Ссылка")</f>
        <v>Ссылка</v>
      </c>
      <c r="I239" s="5" t="s">
        <v>300</v>
      </c>
    </row>
    <row r="240" spans="1:9" s="4" customFormat="1" ht="38.1" customHeight="1" outlineLevel="1" x14ac:dyDescent="0.2">
      <c r="A240" s="5" t="s">
        <v>183</v>
      </c>
      <c r="B240" s="5" t="s">
        <v>23</v>
      </c>
      <c r="C240" s="5" t="s">
        <v>301</v>
      </c>
      <c r="D240" s="5" t="s">
        <v>12</v>
      </c>
      <c r="E240" s="5" t="s">
        <v>13</v>
      </c>
      <c r="F240" s="5" t="s">
        <v>14</v>
      </c>
      <c r="G240" s="6">
        <v>26250</v>
      </c>
      <c r="H240" s="236" t="str">
        <f>HYPERLINK("https://adv-map.ru/place/?LINK=68249915ab7f6dac7f144a6c661d6a09","Ссылка")</f>
        <v>Ссылка</v>
      </c>
      <c r="I240" s="5" t="s">
        <v>302</v>
      </c>
    </row>
    <row r="241" spans="1:9" s="4" customFormat="1" ht="38.1" customHeight="1" outlineLevel="1" x14ac:dyDescent="0.2">
      <c r="A241" s="5" t="s">
        <v>183</v>
      </c>
      <c r="B241" s="5" t="s">
        <v>23</v>
      </c>
      <c r="C241" s="5" t="s">
        <v>301</v>
      </c>
      <c r="D241" s="5" t="s">
        <v>12</v>
      </c>
      <c r="E241" s="5" t="s">
        <v>13</v>
      </c>
      <c r="F241" s="5" t="s">
        <v>16</v>
      </c>
      <c r="G241" s="6">
        <v>21000</v>
      </c>
      <c r="H241" s="237" t="str">
        <f>HYPERLINK("https://adv-map.ru/place/?LINK=6fd0550582988ffc209f7e6ececc7ee8","Ссылка")</f>
        <v>Ссылка</v>
      </c>
      <c r="I241" s="5" t="s">
        <v>302</v>
      </c>
    </row>
    <row r="242" spans="1:9" s="4" customFormat="1" ht="38.1" customHeight="1" outlineLevel="1" x14ac:dyDescent="0.2">
      <c r="A242" s="5" t="s">
        <v>183</v>
      </c>
      <c r="B242" s="5" t="s">
        <v>23</v>
      </c>
      <c r="C242" s="5" t="s">
        <v>303</v>
      </c>
      <c r="D242" s="5" t="s">
        <v>12</v>
      </c>
      <c r="E242" s="5" t="s">
        <v>13</v>
      </c>
      <c r="F242" s="5" t="s">
        <v>14</v>
      </c>
      <c r="G242" s="6">
        <v>26250</v>
      </c>
      <c r="H242" s="238" t="str">
        <f>HYPERLINK("https://adv-map.ru/place/?LINK=65421ee77eaf8b542ec4cffb834ade7f","Ссылка")</f>
        <v>Ссылка</v>
      </c>
      <c r="I242" s="5" t="s">
        <v>304</v>
      </c>
    </row>
    <row r="243" spans="1:9" s="4" customFormat="1" ht="38.1" customHeight="1" outlineLevel="1" x14ac:dyDescent="0.2">
      <c r="A243" s="5" t="s">
        <v>183</v>
      </c>
      <c r="B243" s="5" t="s">
        <v>23</v>
      </c>
      <c r="C243" s="5" t="s">
        <v>303</v>
      </c>
      <c r="D243" s="5" t="s">
        <v>12</v>
      </c>
      <c r="E243" s="5" t="s">
        <v>13</v>
      </c>
      <c r="F243" s="5" t="s">
        <v>16</v>
      </c>
      <c r="G243" s="6">
        <v>21000</v>
      </c>
      <c r="H243" s="239" t="str">
        <f>HYPERLINK("https://adv-map.ru/place/?LINK=cbcdd2f1037ad4c5815f017646867131","Ссылка")</f>
        <v>Ссылка</v>
      </c>
      <c r="I243" s="5" t="s">
        <v>304</v>
      </c>
    </row>
    <row r="244" spans="1:9" s="4" customFormat="1" ht="38.1" customHeight="1" outlineLevel="1" x14ac:dyDescent="0.2">
      <c r="A244" s="5" t="s">
        <v>183</v>
      </c>
      <c r="B244" s="5" t="s">
        <v>23</v>
      </c>
      <c r="C244" s="5" t="s">
        <v>305</v>
      </c>
      <c r="D244" s="5" t="s">
        <v>12</v>
      </c>
      <c r="E244" s="5" t="s">
        <v>13</v>
      </c>
      <c r="F244" s="5" t="s">
        <v>14</v>
      </c>
      <c r="G244" s="6">
        <v>26250</v>
      </c>
      <c r="H244" s="240" t="str">
        <f>HYPERLINK("https://adv-map.ru/place/?LINK=62caf6d6599cc45e693863466eef2554","Ссылка")</f>
        <v>Ссылка</v>
      </c>
      <c r="I244" s="5" t="s">
        <v>306</v>
      </c>
    </row>
    <row r="245" spans="1:9" s="4" customFormat="1" ht="38.1" customHeight="1" outlineLevel="1" x14ac:dyDescent="0.2">
      <c r="A245" s="5" t="s">
        <v>183</v>
      </c>
      <c r="B245" s="5" t="s">
        <v>23</v>
      </c>
      <c r="C245" s="5" t="s">
        <v>305</v>
      </c>
      <c r="D245" s="5" t="s">
        <v>12</v>
      </c>
      <c r="E245" s="5" t="s">
        <v>13</v>
      </c>
      <c r="F245" s="5" t="s">
        <v>16</v>
      </c>
      <c r="G245" s="6">
        <v>21000</v>
      </c>
      <c r="H245" s="241" t="str">
        <f>HYPERLINK("https://adv-map.ru/place/?LINK=64929091576f4962ac569ae2a89d2464","Ссылка")</f>
        <v>Ссылка</v>
      </c>
      <c r="I245" s="5" t="s">
        <v>306</v>
      </c>
    </row>
    <row r="246" spans="1:9" s="4" customFormat="1" ht="38.1" customHeight="1" outlineLevel="1" x14ac:dyDescent="0.2">
      <c r="A246" s="5" t="s">
        <v>183</v>
      </c>
      <c r="B246" s="5" t="s">
        <v>23</v>
      </c>
      <c r="C246" s="5" t="s">
        <v>307</v>
      </c>
      <c r="D246" s="5" t="s">
        <v>12</v>
      </c>
      <c r="E246" s="5" t="s">
        <v>13</v>
      </c>
      <c r="F246" s="5" t="s">
        <v>14</v>
      </c>
      <c r="G246" s="6">
        <v>26250</v>
      </c>
      <c r="H246" s="242" t="str">
        <f>HYPERLINK("https://adv-map.ru/place/?LINK=6ebef7dc9635d01a56999ea29ef04581","Ссылка")</f>
        <v>Ссылка</v>
      </c>
      <c r="I246" s="5" t="s">
        <v>308</v>
      </c>
    </row>
    <row r="247" spans="1:9" s="4" customFormat="1" ht="38.1" customHeight="1" outlineLevel="1" x14ac:dyDescent="0.2">
      <c r="A247" s="5" t="s">
        <v>183</v>
      </c>
      <c r="B247" s="5" t="s">
        <v>23</v>
      </c>
      <c r="C247" s="5" t="s">
        <v>307</v>
      </c>
      <c r="D247" s="5" t="s">
        <v>12</v>
      </c>
      <c r="E247" s="5" t="s">
        <v>13</v>
      </c>
      <c r="F247" s="5" t="s">
        <v>16</v>
      </c>
      <c r="G247" s="6">
        <v>21000</v>
      </c>
      <c r="H247" s="243" t="str">
        <f>HYPERLINK("https://adv-map.ru/place/?LINK=8fd28cb16314fd73fe1867bd254a76d7","Ссылка")</f>
        <v>Ссылка</v>
      </c>
      <c r="I247" s="5" t="s">
        <v>308</v>
      </c>
    </row>
    <row r="248" spans="1:9" s="4" customFormat="1" ht="38.1" customHeight="1" outlineLevel="1" x14ac:dyDescent="0.2">
      <c r="A248" s="5" t="s">
        <v>183</v>
      </c>
      <c r="B248" s="5" t="s">
        <v>309</v>
      </c>
      <c r="C248" s="5" t="s">
        <v>310</v>
      </c>
      <c r="D248" s="5" t="s">
        <v>12</v>
      </c>
      <c r="E248" s="5" t="s">
        <v>13</v>
      </c>
      <c r="F248" s="5" t="s">
        <v>14</v>
      </c>
      <c r="G248" s="6">
        <v>25200</v>
      </c>
      <c r="H248" s="244" t="str">
        <f>HYPERLINK("https://adv-map.ru/place/?LINK=dbe1bd8c50f4aa558c954cc26e67d347","Ссылка")</f>
        <v>Ссылка</v>
      </c>
      <c r="I248" s="5" t="s">
        <v>311</v>
      </c>
    </row>
    <row r="249" spans="1:9" s="4" customFormat="1" ht="38.1" customHeight="1" outlineLevel="1" x14ac:dyDescent="0.2">
      <c r="A249" s="5" t="s">
        <v>183</v>
      </c>
      <c r="B249" s="5" t="s">
        <v>309</v>
      </c>
      <c r="C249" s="5" t="s">
        <v>310</v>
      </c>
      <c r="D249" s="5" t="s">
        <v>12</v>
      </c>
      <c r="E249" s="5" t="s">
        <v>13</v>
      </c>
      <c r="F249" s="5" t="s">
        <v>16</v>
      </c>
      <c r="G249" s="6">
        <v>20160</v>
      </c>
      <c r="H249" s="245" t="str">
        <f>HYPERLINK("https://adv-map.ru/place/?LINK=1448a1f71e9d8bec7732f48eeb26f557","Ссылка")</f>
        <v>Ссылка</v>
      </c>
      <c r="I249" s="5" t="s">
        <v>311</v>
      </c>
    </row>
    <row r="250" spans="1:9" s="4" customFormat="1" ht="38.1" customHeight="1" outlineLevel="1" x14ac:dyDescent="0.2">
      <c r="A250" s="5" t="s">
        <v>183</v>
      </c>
      <c r="B250" s="5" t="s">
        <v>312</v>
      </c>
      <c r="C250" s="5" t="s">
        <v>313</v>
      </c>
      <c r="D250" s="5" t="s">
        <v>12</v>
      </c>
      <c r="E250" s="5" t="s">
        <v>13</v>
      </c>
      <c r="F250" s="5" t="s">
        <v>14</v>
      </c>
      <c r="G250" s="6">
        <v>25200</v>
      </c>
      <c r="H250" s="246" t="str">
        <f>HYPERLINK("https://adv-map.ru/place/?LINK=e4fd4776778d2c0ddbc31cbe7b14af23","Ссылка")</f>
        <v>Ссылка</v>
      </c>
      <c r="I250" s="5" t="s">
        <v>314</v>
      </c>
    </row>
    <row r="251" spans="1:9" s="4" customFormat="1" ht="38.1" customHeight="1" outlineLevel="1" x14ac:dyDescent="0.2">
      <c r="A251" s="5" t="s">
        <v>183</v>
      </c>
      <c r="B251" s="5" t="s">
        <v>312</v>
      </c>
      <c r="C251" s="5" t="s">
        <v>313</v>
      </c>
      <c r="D251" s="5" t="s">
        <v>12</v>
      </c>
      <c r="E251" s="5" t="s">
        <v>13</v>
      </c>
      <c r="F251" s="5" t="s">
        <v>16</v>
      </c>
      <c r="G251" s="6">
        <v>20160</v>
      </c>
      <c r="H251" s="247" t="str">
        <f>HYPERLINK("https://adv-map.ru/place/?LINK=99d17b264140daeccc54787054baf028","Ссылка")</f>
        <v>Ссылка</v>
      </c>
      <c r="I251" s="5" t="s">
        <v>314</v>
      </c>
    </row>
    <row r="252" spans="1:9" s="4" customFormat="1" ht="38.1" customHeight="1" outlineLevel="1" x14ac:dyDescent="0.2">
      <c r="A252" s="5" t="s">
        <v>183</v>
      </c>
      <c r="B252" s="5" t="s">
        <v>312</v>
      </c>
      <c r="C252" s="5" t="s">
        <v>315</v>
      </c>
      <c r="D252" s="5" t="s">
        <v>12</v>
      </c>
      <c r="E252" s="5" t="s">
        <v>13</v>
      </c>
      <c r="F252" s="5" t="s">
        <v>14</v>
      </c>
      <c r="G252" s="6">
        <v>25200</v>
      </c>
      <c r="H252" s="248" t="str">
        <f>HYPERLINK("https://adv-map.ru/place/?LINK=705025d33d6b07dcaecb9091d761273e","Ссылка")</f>
        <v>Ссылка</v>
      </c>
      <c r="I252" s="5" t="s">
        <v>316</v>
      </c>
    </row>
    <row r="253" spans="1:9" s="4" customFormat="1" ht="38.1" customHeight="1" outlineLevel="1" x14ac:dyDescent="0.2">
      <c r="A253" s="5" t="s">
        <v>183</v>
      </c>
      <c r="B253" s="5" t="s">
        <v>312</v>
      </c>
      <c r="C253" s="5" t="s">
        <v>317</v>
      </c>
      <c r="D253" s="5" t="s">
        <v>12</v>
      </c>
      <c r="E253" s="5" t="s">
        <v>13</v>
      </c>
      <c r="F253" s="5" t="s">
        <v>16</v>
      </c>
      <c r="G253" s="6">
        <v>20160</v>
      </c>
      <c r="H253" s="249" t="str">
        <f>HYPERLINK("https://adv-map.ru/place/?LINK=21cc4a00eaf870d2de8b1caccca41dd4","Ссылка")</f>
        <v>Ссылка</v>
      </c>
      <c r="I253" s="5" t="s">
        <v>316</v>
      </c>
    </row>
    <row r="254" spans="1:9" s="4" customFormat="1" ht="38.1" customHeight="1" outlineLevel="1" x14ac:dyDescent="0.2">
      <c r="A254" s="5" t="s">
        <v>183</v>
      </c>
      <c r="B254" s="5" t="s">
        <v>312</v>
      </c>
      <c r="C254" s="5" t="s">
        <v>318</v>
      </c>
      <c r="D254" s="5" t="s">
        <v>12</v>
      </c>
      <c r="E254" s="5" t="s">
        <v>13</v>
      </c>
      <c r="F254" s="5" t="s">
        <v>14</v>
      </c>
      <c r="G254" s="6">
        <v>25200</v>
      </c>
      <c r="H254" s="250" t="str">
        <f>HYPERLINK("https://adv-map.ru/place/?LINK=1f2a73bdbea3cbb9274b923b04412d49","Ссылка")</f>
        <v>Ссылка</v>
      </c>
      <c r="I254" s="5" t="s">
        <v>319</v>
      </c>
    </row>
    <row r="255" spans="1:9" s="4" customFormat="1" ht="38.1" customHeight="1" outlineLevel="1" x14ac:dyDescent="0.2">
      <c r="A255" s="5" t="s">
        <v>183</v>
      </c>
      <c r="B255" s="5" t="s">
        <v>312</v>
      </c>
      <c r="C255" s="5" t="s">
        <v>318</v>
      </c>
      <c r="D255" s="5" t="s">
        <v>12</v>
      </c>
      <c r="E255" s="5" t="s">
        <v>13</v>
      </c>
      <c r="F255" s="5" t="s">
        <v>16</v>
      </c>
      <c r="G255" s="6">
        <v>20160</v>
      </c>
      <c r="H255" s="251" t="str">
        <f>HYPERLINK("https://adv-map.ru/place/?LINK=54aa63b723ed64d890be502c7ecd5b34","Ссылка")</f>
        <v>Ссылка</v>
      </c>
      <c r="I255" s="5" t="s">
        <v>319</v>
      </c>
    </row>
    <row r="256" spans="1:9" s="4" customFormat="1" ht="38.1" customHeight="1" outlineLevel="1" x14ac:dyDescent="0.2">
      <c r="A256" s="5" t="s">
        <v>183</v>
      </c>
      <c r="B256" s="5" t="s">
        <v>312</v>
      </c>
      <c r="C256" s="5" t="s">
        <v>320</v>
      </c>
      <c r="D256" s="5" t="s">
        <v>12</v>
      </c>
      <c r="E256" s="5" t="s">
        <v>13</v>
      </c>
      <c r="F256" s="5" t="s">
        <v>14</v>
      </c>
      <c r="G256" s="6">
        <v>25200</v>
      </c>
      <c r="H256" s="252" t="str">
        <f>HYPERLINK("https://adv-map.ru/place/?LINK=2df4f38b0a8083090555564791e4bfd5","Ссылка")</f>
        <v>Ссылка</v>
      </c>
      <c r="I256" s="5" t="s">
        <v>321</v>
      </c>
    </row>
    <row r="257" spans="1:9" s="4" customFormat="1" ht="38.1" customHeight="1" outlineLevel="1" x14ac:dyDescent="0.2">
      <c r="A257" s="5" t="s">
        <v>183</v>
      </c>
      <c r="B257" s="5" t="s">
        <v>312</v>
      </c>
      <c r="C257" s="5" t="s">
        <v>320</v>
      </c>
      <c r="D257" s="5" t="s">
        <v>12</v>
      </c>
      <c r="E257" s="5" t="s">
        <v>13</v>
      </c>
      <c r="F257" s="5" t="s">
        <v>16</v>
      </c>
      <c r="G257" s="6">
        <v>20160</v>
      </c>
      <c r="H257" s="253" t="str">
        <f>HYPERLINK("https://adv-map.ru/place/?LINK=877dc0d208fac6026f0771980906e360","Ссылка")</f>
        <v>Ссылка</v>
      </c>
      <c r="I257" s="5" t="s">
        <v>321</v>
      </c>
    </row>
    <row r="258" spans="1:9" s="4" customFormat="1" ht="38.1" customHeight="1" outlineLevel="1" x14ac:dyDescent="0.2">
      <c r="A258" s="5" t="s">
        <v>183</v>
      </c>
      <c r="B258" s="5" t="s">
        <v>312</v>
      </c>
      <c r="C258" s="5" t="s">
        <v>322</v>
      </c>
      <c r="D258" s="5" t="s">
        <v>12</v>
      </c>
      <c r="E258" s="5" t="s">
        <v>13</v>
      </c>
      <c r="F258" s="5" t="s">
        <v>16</v>
      </c>
      <c r="G258" s="6">
        <v>20160</v>
      </c>
      <c r="H258" s="254" t="str">
        <f>HYPERLINK("https://adv-map.ru/place/?LINK=6a13b205235271cff195be8cdd3fd152","Ссылка")</f>
        <v>Ссылка</v>
      </c>
      <c r="I258" s="5" t="s">
        <v>323</v>
      </c>
    </row>
    <row r="259" spans="1:9" s="4" customFormat="1" ht="38.1" customHeight="1" outlineLevel="1" x14ac:dyDescent="0.2">
      <c r="A259" s="5" t="s">
        <v>183</v>
      </c>
      <c r="B259" s="5" t="s">
        <v>312</v>
      </c>
      <c r="C259" s="5" t="s">
        <v>324</v>
      </c>
      <c r="D259" s="5" t="s">
        <v>12</v>
      </c>
      <c r="E259" s="5" t="s">
        <v>13</v>
      </c>
      <c r="F259" s="5" t="s">
        <v>14</v>
      </c>
      <c r="G259" s="6">
        <v>25200</v>
      </c>
      <c r="H259" s="255" t="str">
        <f>HYPERLINK("https://adv-map.ru/place/?LINK=a5b442dede948eab305730be39c74519","Ссылка")</f>
        <v>Ссылка</v>
      </c>
      <c r="I259" s="5" t="s">
        <v>323</v>
      </c>
    </row>
    <row r="260" spans="1:9" s="4" customFormat="1" ht="38.1" customHeight="1" outlineLevel="1" x14ac:dyDescent="0.2">
      <c r="A260" s="5" t="s">
        <v>183</v>
      </c>
      <c r="B260" s="5" t="s">
        <v>312</v>
      </c>
      <c r="C260" s="5" t="s">
        <v>325</v>
      </c>
      <c r="D260" s="5" t="s">
        <v>12</v>
      </c>
      <c r="E260" s="5" t="s">
        <v>13</v>
      </c>
      <c r="F260" s="5" t="s">
        <v>16</v>
      </c>
      <c r="G260" s="6">
        <v>20160</v>
      </c>
      <c r="H260" s="256" t="str">
        <f>HYPERLINK("https://adv-map.ru/place/?LINK=2a146896bce1687b689a23b224cb177f","Ссылка")</f>
        <v>Ссылка</v>
      </c>
      <c r="I260" s="5" t="s">
        <v>326</v>
      </c>
    </row>
    <row r="261" spans="1:9" s="4" customFormat="1" ht="38.1" customHeight="1" outlineLevel="1" x14ac:dyDescent="0.2">
      <c r="A261" s="5" t="s">
        <v>183</v>
      </c>
      <c r="B261" s="5" t="s">
        <v>312</v>
      </c>
      <c r="C261" s="5" t="s">
        <v>327</v>
      </c>
      <c r="D261" s="5" t="s">
        <v>12</v>
      </c>
      <c r="E261" s="5" t="s">
        <v>13</v>
      </c>
      <c r="F261" s="5" t="s">
        <v>14</v>
      </c>
      <c r="G261" s="6">
        <v>25200</v>
      </c>
      <c r="H261" s="257" t="str">
        <f>HYPERLINK("https://adv-map.ru/place/?LINK=e8caa88008b14b9a69ba867099bccd62","Ссылка")</f>
        <v>Ссылка</v>
      </c>
      <c r="I261" s="5" t="s">
        <v>326</v>
      </c>
    </row>
    <row r="262" spans="1:9" s="4" customFormat="1" ht="38.1" customHeight="1" outlineLevel="1" x14ac:dyDescent="0.2">
      <c r="A262" s="5" t="s">
        <v>183</v>
      </c>
      <c r="B262" s="5" t="s">
        <v>312</v>
      </c>
      <c r="C262" s="5" t="s">
        <v>328</v>
      </c>
      <c r="D262" s="5" t="s">
        <v>12</v>
      </c>
      <c r="E262" s="5" t="s">
        <v>13</v>
      </c>
      <c r="F262" s="5" t="s">
        <v>14</v>
      </c>
      <c r="G262" s="6">
        <v>25200</v>
      </c>
      <c r="H262" s="258" t="str">
        <f>HYPERLINK("https://adv-map.ru/place/?LINK=fd7106a5990e25aae5f3df80b3bc56f4","Ссылка")</f>
        <v>Ссылка</v>
      </c>
      <c r="I262" s="5" t="s">
        <v>329</v>
      </c>
    </row>
    <row r="263" spans="1:9" s="4" customFormat="1" ht="38.1" customHeight="1" outlineLevel="1" x14ac:dyDescent="0.2">
      <c r="A263" s="5" t="s">
        <v>183</v>
      </c>
      <c r="B263" s="5" t="s">
        <v>312</v>
      </c>
      <c r="C263" s="5" t="s">
        <v>328</v>
      </c>
      <c r="D263" s="5" t="s">
        <v>12</v>
      </c>
      <c r="E263" s="5" t="s">
        <v>13</v>
      </c>
      <c r="F263" s="5" t="s">
        <v>16</v>
      </c>
      <c r="G263" s="6">
        <v>20160</v>
      </c>
      <c r="H263" s="259" t="str">
        <f>HYPERLINK("https://adv-map.ru/place/?LINK=040c7f63397e45b8a65c2f95b8f88615","Ссылка")</f>
        <v>Ссылка</v>
      </c>
      <c r="I263" s="5" t="s">
        <v>329</v>
      </c>
    </row>
    <row r="264" spans="1:9" s="4" customFormat="1" ht="38.1" customHeight="1" outlineLevel="1" x14ac:dyDescent="0.2">
      <c r="A264" s="5" t="s">
        <v>183</v>
      </c>
      <c r="B264" s="5" t="s">
        <v>266</v>
      </c>
      <c r="C264" s="5" t="s">
        <v>330</v>
      </c>
      <c r="D264" s="5" t="s">
        <v>12</v>
      </c>
      <c r="E264" s="5" t="s">
        <v>13</v>
      </c>
      <c r="F264" s="5" t="s">
        <v>14</v>
      </c>
      <c r="G264" s="6">
        <v>25200</v>
      </c>
      <c r="H264" s="260" t="str">
        <f>HYPERLINK("https://adv-map.ru/place/?LINK=489f5a300984e0c8adc62c5d65234c8e","Ссылка")</f>
        <v>Ссылка</v>
      </c>
      <c r="I264" s="5" t="s">
        <v>331</v>
      </c>
    </row>
    <row r="265" spans="1:9" s="4" customFormat="1" ht="38.1" customHeight="1" outlineLevel="1" x14ac:dyDescent="0.2">
      <c r="A265" s="5" t="s">
        <v>183</v>
      </c>
      <c r="B265" s="5" t="s">
        <v>266</v>
      </c>
      <c r="C265" s="5" t="s">
        <v>330</v>
      </c>
      <c r="D265" s="5" t="s">
        <v>12</v>
      </c>
      <c r="E265" s="5" t="s">
        <v>13</v>
      </c>
      <c r="F265" s="5" t="s">
        <v>16</v>
      </c>
      <c r="G265" s="6">
        <v>20160</v>
      </c>
      <c r="H265" s="261" t="str">
        <f>HYPERLINK("https://adv-map.ru/place/?LINK=d7c37b481e262360d562343754c908dc","Ссылка")</f>
        <v>Ссылка</v>
      </c>
      <c r="I265" s="5" t="s">
        <v>331</v>
      </c>
    </row>
    <row r="266" spans="1:9" s="4" customFormat="1" ht="38.1" customHeight="1" outlineLevel="1" x14ac:dyDescent="0.2">
      <c r="A266" s="5" t="s">
        <v>183</v>
      </c>
      <c r="B266" s="5" t="s">
        <v>23</v>
      </c>
      <c r="C266" s="5" t="s">
        <v>332</v>
      </c>
      <c r="D266" s="5" t="s">
        <v>12</v>
      </c>
      <c r="E266" s="5" t="s">
        <v>13</v>
      </c>
      <c r="F266" s="5" t="s">
        <v>14</v>
      </c>
      <c r="G266" s="6">
        <v>31500</v>
      </c>
      <c r="H266" s="262" t="str">
        <f>HYPERLINK("https://adv-map.ru/place/?LINK=e25f3b9ee71aa9834723d5f6b247e7c9","Ссылка")</f>
        <v>Ссылка</v>
      </c>
      <c r="I266" s="5" t="s">
        <v>333</v>
      </c>
    </row>
    <row r="267" spans="1:9" s="4" customFormat="1" ht="38.1" customHeight="1" outlineLevel="1" x14ac:dyDescent="0.2">
      <c r="A267" s="5" t="s">
        <v>183</v>
      </c>
      <c r="B267" s="5" t="s">
        <v>23</v>
      </c>
      <c r="C267" s="5" t="s">
        <v>332</v>
      </c>
      <c r="D267" s="5" t="s">
        <v>12</v>
      </c>
      <c r="E267" s="5" t="s">
        <v>13</v>
      </c>
      <c r="F267" s="5" t="s">
        <v>16</v>
      </c>
      <c r="G267" s="6">
        <v>25200</v>
      </c>
      <c r="H267" s="263" t="str">
        <f>HYPERLINK("https://adv-map.ru/place/?LINK=e898852bc0724e19f0aa4608d972b3c8","Ссылка")</f>
        <v>Ссылка</v>
      </c>
      <c r="I267" s="5" t="s">
        <v>333</v>
      </c>
    </row>
    <row r="268" spans="1:9" s="4" customFormat="1" ht="38.1" customHeight="1" outlineLevel="1" x14ac:dyDescent="0.2">
      <c r="A268" s="5" t="s">
        <v>183</v>
      </c>
      <c r="B268" s="5" t="s">
        <v>23</v>
      </c>
      <c r="C268" s="5" t="s">
        <v>334</v>
      </c>
      <c r="D268" s="5" t="s">
        <v>12</v>
      </c>
      <c r="E268" s="5" t="s">
        <v>13</v>
      </c>
      <c r="F268" s="5" t="s">
        <v>14</v>
      </c>
      <c r="G268" s="6">
        <v>31500</v>
      </c>
      <c r="H268" s="264" t="str">
        <f>HYPERLINK("https://adv-map.ru/place/?LINK=6dd404fa65fdff29d5c4eab6b1e623d0","Ссылка")</f>
        <v>Ссылка</v>
      </c>
      <c r="I268" s="5" t="s">
        <v>335</v>
      </c>
    </row>
    <row r="269" spans="1:9" s="4" customFormat="1" ht="38.1" customHeight="1" outlineLevel="1" x14ac:dyDescent="0.2">
      <c r="A269" s="5" t="s">
        <v>183</v>
      </c>
      <c r="B269" s="5" t="s">
        <v>23</v>
      </c>
      <c r="C269" s="5" t="s">
        <v>334</v>
      </c>
      <c r="D269" s="5" t="s">
        <v>12</v>
      </c>
      <c r="E269" s="5" t="s">
        <v>13</v>
      </c>
      <c r="F269" s="5" t="s">
        <v>16</v>
      </c>
      <c r="G269" s="6">
        <v>31500</v>
      </c>
      <c r="H269" s="265" t="str">
        <f>HYPERLINK("https://adv-map.ru/place/?LINK=568905eafd8beb73ea39b23fe5a397e9","Ссылка")</f>
        <v>Ссылка</v>
      </c>
      <c r="I269" s="5" t="s">
        <v>335</v>
      </c>
    </row>
    <row r="270" spans="1:9" s="4" customFormat="1" ht="38.1" customHeight="1" outlineLevel="1" x14ac:dyDescent="0.2">
      <c r="A270" s="5" t="s">
        <v>183</v>
      </c>
      <c r="B270" s="5" t="s">
        <v>23</v>
      </c>
      <c r="C270" s="5" t="s">
        <v>336</v>
      </c>
      <c r="D270" s="5" t="s">
        <v>12</v>
      </c>
      <c r="E270" s="5" t="s">
        <v>13</v>
      </c>
      <c r="F270" s="5" t="s">
        <v>14</v>
      </c>
      <c r="G270" s="6">
        <v>31500</v>
      </c>
      <c r="H270" s="266" t="str">
        <f>HYPERLINK("https://adv-map.ru/place/?LINK=5aa4a288baa1e67c65abb6429b67369e","Ссылка")</f>
        <v>Ссылка</v>
      </c>
      <c r="I270" s="5" t="s">
        <v>337</v>
      </c>
    </row>
    <row r="271" spans="1:9" s="4" customFormat="1" ht="38.1" customHeight="1" outlineLevel="1" x14ac:dyDescent="0.2">
      <c r="A271" s="5" t="s">
        <v>183</v>
      </c>
      <c r="B271" s="5" t="s">
        <v>23</v>
      </c>
      <c r="C271" s="5" t="s">
        <v>336</v>
      </c>
      <c r="D271" s="5" t="s">
        <v>12</v>
      </c>
      <c r="E271" s="5" t="s">
        <v>13</v>
      </c>
      <c r="F271" s="5" t="s">
        <v>16</v>
      </c>
      <c r="G271" s="6">
        <v>25200</v>
      </c>
      <c r="H271" s="267" t="str">
        <f>HYPERLINK("https://adv-map.ru/place/?LINK=2e7687542643200276397a5ddf603bed","Ссылка")</f>
        <v>Ссылка</v>
      </c>
      <c r="I271" s="5" t="s">
        <v>337</v>
      </c>
    </row>
    <row r="272" spans="1:9" s="4" customFormat="1" ht="38.1" customHeight="1" outlineLevel="1" x14ac:dyDescent="0.2">
      <c r="A272" s="5" t="s">
        <v>183</v>
      </c>
      <c r="B272" s="5" t="s">
        <v>23</v>
      </c>
      <c r="C272" s="5" t="s">
        <v>338</v>
      </c>
      <c r="D272" s="5" t="s">
        <v>12</v>
      </c>
      <c r="E272" s="5" t="s">
        <v>13</v>
      </c>
      <c r="F272" s="5" t="s">
        <v>14</v>
      </c>
      <c r="G272" s="6">
        <v>31500</v>
      </c>
      <c r="H272" s="268" t="str">
        <f>HYPERLINK("https://adv-map.ru/place/?LINK=00118f5025405d1f29dd4d7da659f705","Ссылка")</f>
        <v>Ссылка</v>
      </c>
      <c r="I272" s="5" t="s">
        <v>339</v>
      </c>
    </row>
    <row r="273" spans="1:9" s="4" customFormat="1" ht="38.1" customHeight="1" outlineLevel="1" x14ac:dyDescent="0.2">
      <c r="A273" s="5" t="s">
        <v>183</v>
      </c>
      <c r="B273" s="5" t="s">
        <v>23</v>
      </c>
      <c r="C273" s="5" t="s">
        <v>338</v>
      </c>
      <c r="D273" s="5" t="s">
        <v>12</v>
      </c>
      <c r="E273" s="5" t="s">
        <v>13</v>
      </c>
      <c r="F273" s="5" t="s">
        <v>16</v>
      </c>
      <c r="G273" s="6">
        <v>25200</v>
      </c>
      <c r="H273" s="269" t="str">
        <f>HYPERLINK("https://adv-map.ru/place/?LINK=deca5e8d39b1f4340b737ba39344efee","Ссылка")</f>
        <v>Ссылка</v>
      </c>
      <c r="I273" s="5" t="s">
        <v>339</v>
      </c>
    </row>
    <row r="274" spans="1:9" s="1" customFormat="1" ht="14.1" customHeight="1" x14ac:dyDescent="0.15">
      <c r="A274" s="2" t="s">
        <v>340</v>
      </c>
      <c r="B274" s="3"/>
      <c r="C274" s="3"/>
      <c r="D274" s="3"/>
      <c r="E274" s="3"/>
      <c r="F274" s="3"/>
      <c r="G274" s="3"/>
      <c r="H274" s="3"/>
      <c r="I274" s="3"/>
    </row>
    <row r="275" spans="1:9" s="4" customFormat="1" ht="38.1" customHeight="1" outlineLevel="1" x14ac:dyDescent="0.2">
      <c r="A275" s="5" t="s">
        <v>340</v>
      </c>
      <c r="B275" s="5" t="s">
        <v>341</v>
      </c>
      <c r="C275" s="5" t="s">
        <v>342</v>
      </c>
      <c r="D275" s="5" t="s">
        <v>12</v>
      </c>
      <c r="E275" s="5" t="s">
        <v>13</v>
      </c>
      <c r="F275" s="5" t="s">
        <v>14</v>
      </c>
      <c r="G275" s="6">
        <v>31500</v>
      </c>
      <c r="H275" s="270" t="str">
        <f>HYPERLINK("https://adv-map.ru/place/?LINK=b6c267f57bed017c89f8a350bab9da07","Ссылка")</f>
        <v>Ссылка</v>
      </c>
      <c r="I275" s="5" t="s">
        <v>343</v>
      </c>
    </row>
    <row r="276" spans="1:9" s="4" customFormat="1" ht="38.1" customHeight="1" outlineLevel="1" x14ac:dyDescent="0.2">
      <c r="A276" s="5" t="s">
        <v>340</v>
      </c>
      <c r="B276" s="5" t="s">
        <v>341</v>
      </c>
      <c r="C276" s="5" t="s">
        <v>344</v>
      </c>
      <c r="D276" s="5" t="s">
        <v>12</v>
      </c>
      <c r="E276" s="5" t="s">
        <v>13</v>
      </c>
      <c r="F276" s="5" t="s">
        <v>16</v>
      </c>
      <c r="G276" s="6">
        <v>25200</v>
      </c>
      <c r="H276" s="271" t="str">
        <f>HYPERLINK("https://adv-map.ru/place/?LINK=fbb36acb76e33f15242d176bc00d0dea","Ссылка")</f>
        <v>Ссылка</v>
      </c>
      <c r="I276" s="5" t="s">
        <v>343</v>
      </c>
    </row>
    <row r="277" spans="1:9" s="4" customFormat="1" ht="38.1" customHeight="1" outlineLevel="1" x14ac:dyDescent="0.2">
      <c r="A277" s="5" t="s">
        <v>340</v>
      </c>
      <c r="B277" s="5" t="s">
        <v>345</v>
      </c>
      <c r="C277" s="5" t="s">
        <v>346</v>
      </c>
      <c r="D277" s="5" t="s">
        <v>347</v>
      </c>
      <c r="E277" s="5" t="s">
        <v>348</v>
      </c>
      <c r="F277" s="5" t="s">
        <v>14</v>
      </c>
      <c r="G277" s="6">
        <v>25200</v>
      </c>
      <c r="H277" s="272" t="str">
        <f>HYPERLINK("https://adv-map.ru/place/?LINK=5212b3a1e3fe1b2ece248b2510e6285b","Ссылка")</f>
        <v>Ссылка</v>
      </c>
      <c r="I277" s="5" t="s">
        <v>349</v>
      </c>
    </row>
    <row r="278" spans="1:9" s="4" customFormat="1" ht="38.1" customHeight="1" outlineLevel="1" x14ac:dyDescent="0.2">
      <c r="A278" s="5" t="s">
        <v>340</v>
      </c>
      <c r="B278" s="5" t="s">
        <v>345</v>
      </c>
      <c r="C278" s="5" t="s">
        <v>346</v>
      </c>
      <c r="D278" s="5" t="s">
        <v>347</v>
      </c>
      <c r="E278" s="5" t="s">
        <v>348</v>
      </c>
      <c r="F278" s="5" t="s">
        <v>16</v>
      </c>
      <c r="G278" s="6">
        <v>20160</v>
      </c>
      <c r="H278" s="273" t="str">
        <f>HYPERLINK("https://adv-map.ru/place/?LINK=9534d5485bc3771c58179bec9bc88ef9","Ссылка")</f>
        <v>Ссылка</v>
      </c>
      <c r="I278" s="5" t="s">
        <v>349</v>
      </c>
    </row>
    <row r="279" spans="1:9" s="4" customFormat="1" ht="38.1" customHeight="1" outlineLevel="1" x14ac:dyDescent="0.2">
      <c r="A279" s="5" t="s">
        <v>340</v>
      </c>
      <c r="B279" s="5" t="s">
        <v>134</v>
      </c>
      <c r="C279" s="5" t="s">
        <v>350</v>
      </c>
      <c r="D279" s="5" t="s">
        <v>351</v>
      </c>
      <c r="E279" s="5" t="s">
        <v>352</v>
      </c>
      <c r="F279" s="5" t="s">
        <v>14</v>
      </c>
      <c r="G279" s="6">
        <v>168000</v>
      </c>
      <c r="H279" s="274" t="str">
        <f>HYPERLINK("https://adv-map.ru/place/?LINK=40abdc465767b2a112e4187fc6cea1de","Ссылка")</f>
        <v>Ссылка</v>
      </c>
      <c r="I279" s="5" t="s">
        <v>353</v>
      </c>
    </row>
    <row r="280" spans="1:9" s="4" customFormat="1" ht="38.1" customHeight="1" outlineLevel="1" x14ac:dyDescent="0.2">
      <c r="A280" s="5" t="s">
        <v>340</v>
      </c>
      <c r="B280" s="5" t="s">
        <v>134</v>
      </c>
      <c r="C280" s="5" t="s">
        <v>350</v>
      </c>
      <c r="D280" s="5" t="s">
        <v>351</v>
      </c>
      <c r="E280" s="5" t="s">
        <v>352</v>
      </c>
      <c r="F280" s="5" t="s">
        <v>16</v>
      </c>
      <c r="G280" s="6">
        <v>115500</v>
      </c>
      <c r="H280" s="275" t="str">
        <f>HYPERLINK("https://adv-map.ru/place/?LINK=000b8c1c18cfc86f052cd4b985440e03","Ссылка")</f>
        <v>Ссылка</v>
      </c>
      <c r="I280" s="5" t="s">
        <v>353</v>
      </c>
    </row>
    <row r="281" spans="1:9" s="4" customFormat="1" ht="38.1" customHeight="1" outlineLevel="1" x14ac:dyDescent="0.2">
      <c r="A281" s="5" t="s">
        <v>340</v>
      </c>
      <c r="B281" s="5" t="s">
        <v>354</v>
      </c>
      <c r="C281" s="5" t="s">
        <v>355</v>
      </c>
      <c r="D281" s="5" t="s">
        <v>12</v>
      </c>
      <c r="E281" s="5" t="s">
        <v>13</v>
      </c>
      <c r="F281" s="5" t="s">
        <v>14</v>
      </c>
      <c r="G281" s="6">
        <v>30240</v>
      </c>
      <c r="H281" s="276" t="str">
        <f>HYPERLINK("https://adv-map.ru/place/?LINK=95a79437be683e043da8792605c2a0ed","Ссылка")</f>
        <v>Ссылка</v>
      </c>
      <c r="I281" s="5" t="s">
        <v>356</v>
      </c>
    </row>
    <row r="282" spans="1:9" s="4" customFormat="1" ht="38.1" customHeight="1" outlineLevel="1" x14ac:dyDescent="0.2">
      <c r="A282" s="5" t="s">
        <v>340</v>
      </c>
      <c r="B282" s="5" t="s">
        <v>354</v>
      </c>
      <c r="C282" s="5" t="s">
        <v>355</v>
      </c>
      <c r="D282" s="5" t="s">
        <v>12</v>
      </c>
      <c r="E282" s="5" t="s">
        <v>13</v>
      </c>
      <c r="F282" s="5" t="s">
        <v>16</v>
      </c>
      <c r="G282" s="6">
        <v>25200</v>
      </c>
      <c r="H282" s="277" t="str">
        <f>HYPERLINK("https://adv-map.ru/place/?LINK=227ab88fd4d3bf8941d04eacfe60b76e","Ссылка")</f>
        <v>Ссылка</v>
      </c>
      <c r="I282" s="5" t="s">
        <v>356</v>
      </c>
    </row>
    <row r="283" spans="1:9" s="4" customFormat="1" ht="38.1" customHeight="1" outlineLevel="1" x14ac:dyDescent="0.2">
      <c r="A283" s="5" t="s">
        <v>340</v>
      </c>
      <c r="B283" s="5" t="s">
        <v>354</v>
      </c>
      <c r="C283" s="5" t="s">
        <v>357</v>
      </c>
      <c r="D283" s="5" t="s">
        <v>12</v>
      </c>
      <c r="E283" s="5" t="s">
        <v>13</v>
      </c>
      <c r="F283" s="5" t="s">
        <v>14</v>
      </c>
      <c r="G283" s="6">
        <v>30240</v>
      </c>
      <c r="H283" s="278" t="str">
        <f>HYPERLINK("https://adv-map.ru/place/?LINK=54f67e6b232bc34d1520f2257b9a1870","Ссылка")</f>
        <v>Ссылка</v>
      </c>
      <c r="I283" s="5" t="s">
        <v>358</v>
      </c>
    </row>
    <row r="284" spans="1:9" s="4" customFormat="1" ht="38.1" customHeight="1" outlineLevel="1" x14ac:dyDescent="0.2">
      <c r="A284" s="5" t="s">
        <v>340</v>
      </c>
      <c r="B284" s="5" t="s">
        <v>354</v>
      </c>
      <c r="C284" s="5" t="s">
        <v>357</v>
      </c>
      <c r="D284" s="5" t="s">
        <v>12</v>
      </c>
      <c r="E284" s="5" t="s">
        <v>13</v>
      </c>
      <c r="F284" s="5" t="s">
        <v>16</v>
      </c>
      <c r="G284" s="6">
        <v>25200</v>
      </c>
      <c r="H284" s="279" t="str">
        <f>HYPERLINK("https://adv-map.ru/place/?LINK=a6f1f86c100ce2673a30ec79a38f5425","Ссылка")</f>
        <v>Ссылка</v>
      </c>
      <c r="I284" s="5" t="s">
        <v>358</v>
      </c>
    </row>
    <row r="285" spans="1:9" s="4" customFormat="1" ht="38.1" customHeight="1" outlineLevel="1" x14ac:dyDescent="0.2">
      <c r="A285" s="5" t="s">
        <v>340</v>
      </c>
      <c r="B285" s="5" t="s">
        <v>354</v>
      </c>
      <c r="C285" s="5" t="s">
        <v>359</v>
      </c>
      <c r="D285" s="5" t="s">
        <v>12</v>
      </c>
      <c r="E285" s="5" t="s">
        <v>13</v>
      </c>
      <c r="F285" s="5" t="s">
        <v>14</v>
      </c>
      <c r="G285" s="6">
        <v>30240</v>
      </c>
      <c r="H285" s="280" t="str">
        <f>HYPERLINK("https://adv-map.ru/place/?LINK=7072cc803c8342a26e130f4b819fcf2d","Ссылка")</f>
        <v>Ссылка</v>
      </c>
      <c r="I285" s="5" t="s">
        <v>360</v>
      </c>
    </row>
    <row r="286" spans="1:9" s="4" customFormat="1" ht="38.1" customHeight="1" outlineLevel="1" x14ac:dyDescent="0.2">
      <c r="A286" s="5" t="s">
        <v>340</v>
      </c>
      <c r="B286" s="5" t="s">
        <v>354</v>
      </c>
      <c r="C286" s="5" t="s">
        <v>359</v>
      </c>
      <c r="D286" s="5" t="s">
        <v>12</v>
      </c>
      <c r="E286" s="5" t="s">
        <v>13</v>
      </c>
      <c r="F286" s="5" t="s">
        <v>16</v>
      </c>
      <c r="G286" s="6">
        <v>25200</v>
      </c>
      <c r="H286" s="281" t="str">
        <f>HYPERLINK("https://adv-map.ru/place/?LINK=6f2ca637c76ff60387f0d7ebd7cdbc41","Ссылка")</f>
        <v>Ссылка</v>
      </c>
      <c r="I286" s="5" t="s">
        <v>360</v>
      </c>
    </row>
    <row r="287" spans="1:9" s="4" customFormat="1" ht="38.1" customHeight="1" outlineLevel="1" x14ac:dyDescent="0.2">
      <c r="A287" s="5" t="s">
        <v>340</v>
      </c>
      <c r="B287" s="5" t="s">
        <v>354</v>
      </c>
      <c r="C287" s="5" t="s">
        <v>361</v>
      </c>
      <c r="D287" s="5" t="s">
        <v>12</v>
      </c>
      <c r="E287" s="5" t="s">
        <v>13</v>
      </c>
      <c r="F287" s="5" t="s">
        <v>14</v>
      </c>
      <c r="G287" s="6">
        <v>30240</v>
      </c>
      <c r="H287" s="282" t="str">
        <f>HYPERLINK("https://adv-map.ru/place/?LINK=946b5cf959882335c464a15e574fc5b9","Ссылка")</f>
        <v>Ссылка</v>
      </c>
      <c r="I287" s="5" t="s">
        <v>362</v>
      </c>
    </row>
    <row r="288" spans="1:9" s="4" customFormat="1" ht="38.1" customHeight="1" outlineLevel="1" x14ac:dyDescent="0.2">
      <c r="A288" s="5" t="s">
        <v>340</v>
      </c>
      <c r="B288" s="5" t="s">
        <v>354</v>
      </c>
      <c r="C288" s="5" t="s">
        <v>361</v>
      </c>
      <c r="D288" s="5" t="s">
        <v>12</v>
      </c>
      <c r="E288" s="5" t="s">
        <v>13</v>
      </c>
      <c r="F288" s="5" t="s">
        <v>16</v>
      </c>
      <c r="G288" s="6">
        <v>25200</v>
      </c>
      <c r="H288" s="283" t="str">
        <f>HYPERLINK("https://adv-map.ru/place/?LINK=57c18499ac1981c0fcf0c4c7aeed76ad","Ссылка")</f>
        <v>Ссылка</v>
      </c>
      <c r="I288" s="5" t="s">
        <v>362</v>
      </c>
    </row>
    <row r="289" spans="1:9" s="4" customFormat="1" ht="38.1" customHeight="1" outlineLevel="1" x14ac:dyDescent="0.2">
      <c r="A289" s="5" t="s">
        <v>340</v>
      </c>
      <c r="B289" s="5" t="s">
        <v>354</v>
      </c>
      <c r="C289" s="5" t="s">
        <v>363</v>
      </c>
      <c r="D289" s="5" t="s">
        <v>12</v>
      </c>
      <c r="E289" s="5" t="s">
        <v>13</v>
      </c>
      <c r="F289" s="5" t="s">
        <v>14</v>
      </c>
      <c r="G289" s="6">
        <v>30240</v>
      </c>
      <c r="H289" s="284" t="str">
        <f>HYPERLINK("https://adv-map.ru/place/?LINK=c0b8e22266a36b44d4a537f77d4ca7af","Ссылка")</f>
        <v>Ссылка</v>
      </c>
      <c r="I289" s="5" t="s">
        <v>364</v>
      </c>
    </row>
    <row r="290" spans="1:9" s="4" customFormat="1" ht="38.1" customHeight="1" outlineLevel="1" x14ac:dyDescent="0.2">
      <c r="A290" s="5" t="s">
        <v>340</v>
      </c>
      <c r="B290" s="5" t="s">
        <v>354</v>
      </c>
      <c r="C290" s="5" t="s">
        <v>363</v>
      </c>
      <c r="D290" s="5" t="s">
        <v>12</v>
      </c>
      <c r="E290" s="5" t="s">
        <v>13</v>
      </c>
      <c r="F290" s="5" t="s">
        <v>16</v>
      </c>
      <c r="G290" s="6">
        <v>25200</v>
      </c>
      <c r="H290" s="285" t="str">
        <f>HYPERLINK("https://adv-map.ru/place/?LINK=a1bcdd3a3fa1f260e83a983b2fbc10ce","Ссылка")</f>
        <v>Ссылка</v>
      </c>
      <c r="I290" s="5" t="s">
        <v>364</v>
      </c>
    </row>
    <row r="291" spans="1:9" s="4" customFormat="1" ht="38.1" customHeight="1" outlineLevel="1" x14ac:dyDescent="0.2">
      <c r="A291" s="5" t="s">
        <v>340</v>
      </c>
      <c r="B291" s="5" t="s">
        <v>365</v>
      </c>
      <c r="C291" s="5" t="s">
        <v>366</v>
      </c>
      <c r="D291" s="5" t="s">
        <v>12</v>
      </c>
      <c r="E291" s="5" t="s">
        <v>13</v>
      </c>
      <c r="F291" s="5" t="s">
        <v>14</v>
      </c>
      <c r="G291" s="6">
        <v>31500</v>
      </c>
      <c r="H291" s="286" t="str">
        <f>HYPERLINK("https://adv-map.ru/place/?LINK=1014b27d0a4e2f52c7db49535198366f","Ссылка")</f>
        <v>Ссылка</v>
      </c>
      <c r="I291" s="5" t="s">
        <v>367</v>
      </c>
    </row>
    <row r="292" spans="1:9" s="4" customFormat="1" ht="38.1" customHeight="1" outlineLevel="1" x14ac:dyDescent="0.2">
      <c r="A292" s="5" t="s">
        <v>340</v>
      </c>
      <c r="B292" s="5" t="s">
        <v>365</v>
      </c>
      <c r="C292" s="5" t="s">
        <v>366</v>
      </c>
      <c r="D292" s="5" t="s">
        <v>12</v>
      </c>
      <c r="E292" s="5" t="s">
        <v>13</v>
      </c>
      <c r="F292" s="5" t="s">
        <v>16</v>
      </c>
      <c r="G292" s="6">
        <v>25200</v>
      </c>
      <c r="H292" s="287" t="str">
        <f>HYPERLINK("https://adv-map.ru/place/?LINK=cbf2724d55b897217ef3dd353f65a89a","Ссылка")</f>
        <v>Ссылка</v>
      </c>
      <c r="I292" s="5" t="s">
        <v>367</v>
      </c>
    </row>
    <row r="293" spans="1:9" s="4" customFormat="1" ht="38.1" customHeight="1" outlineLevel="1" x14ac:dyDescent="0.2">
      <c r="A293" s="5" t="s">
        <v>340</v>
      </c>
      <c r="B293" s="5" t="s">
        <v>365</v>
      </c>
      <c r="C293" s="5" t="s">
        <v>368</v>
      </c>
      <c r="D293" s="5" t="s">
        <v>347</v>
      </c>
      <c r="E293" s="5" t="s">
        <v>348</v>
      </c>
      <c r="F293" s="5" t="s">
        <v>14</v>
      </c>
      <c r="G293" s="6">
        <v>20160</v>
      </c>
      <c r="H293" s="288" t="str">
        <f>HYPERLINK("https://adv-map.ru/place/?LINK=f461d74802acd77cee739a1b51248e9a","Ссылка")</f>
        <v>Ссылка</v>
      </c>
      <c r="I293" s="5" t="s">
        <v>369</v>
      </c>
    </row>
    <row r="294" spans="1:9" s="4" customFormat="1" ht="51" customHeight="1" outlineLevel="1" x14ac:dyDescent="0.2">
      <c r="A294" s="5" t="s">
        <v>340</v>
      </c>
      <c r="B294" s="5" t="s">
        <v>365</v>
      </c>
      <c r="C294" s="5" t="s">
        <v>368</v>
      </c>
      <c r="D294" s="5" t="s">
        <v>347</v>
      </c>
      <c r="E294" s="5" t="s">
        <v>348</v>
      </c>
      <c r="F294" s="5" t="s">
        <v>16</v>
      </c>
      <c r="G294" s="6">
        <v>15120</v>
      </c>
      <c r="H294" s="289" t="str">
        <f>HYPERLINK("https://adv-map.ru/place/?LINK=f5851d87d1a0b85d479aee65d27614a2","Ссылка")</f>
        <v>Ссылка</v>
      </c>
      <c r="I294" s="5" t="s">
        <v>369</v>
      </c>
    </row>
    <row r="295" spans="1:9" s="4" customFormat="1" ht="38.1" customHeight="1" outlineLevel="1" x14ac:dyDescent="0.2">
      <c r="A295" s="5" t="s">
        <v>340</v>
      </c>
      <c r="B295" s="5" t="s">
        <v>365</v>
      </c>
      <c r="C295" s="5" t="s">
        <v>370</v>
      </c>
      <c r="D295" s="5" t="s">
        <v>12</v>
      </c>
      <c r="E295" s="5" t="s">
        <v>13</v>
      </c>
      <c r="F295" s="5" t="s">
        <v>14</v>
      </c>
      <c r="G295" s="6">
        <v>31500</v>
      </c>
      <c r="H295" s="290" t="str">
        <f>HYPERLINK("https://adv-map.ru/place/?LINK=b2385868c55f09bfab775061de77958a","Ссылка")</f>
        <v>Ссылка</v>
      </c>
      <c r="I295" s="5" t="s">
        <v>371</v>
      </c>
    </row>
    <row r="296" spans="1:9" s="4" customFormat="1" ht="38.1" customHeight="1" outlineLevel="1" x14ac:dyDescent="0.2">
      <c r="A296" s="5" t="s">
        <v>340</v>
      </c>
      <c r="B296" s="5" t="s">
        <v>365</v>
      </c>
      <c r="C296" s="5" t="s">
        <v>370</v>
      </c>
      <c r="D296" s="5" t="s">
        <v>12</v>
      </c>
      <c r="E296" s="5" t="s">
        <v>13</v>
      </c>
      <c r="F296" s="5" t="s">
        <v>16</v>
      </c>
      <c r="G296" s="6">
        <v>25200</v>
      </c>
      <c r="H296" s="291" t="str">
        <f>HYPERLINK("https://adv-map.ru/place/?LINK=f294eba37ac6218f04837371fd8bdfeb","Ссылка")</f>
        <v>Ссылка</v>
      </c>
      <c r="I296" s="5" t="s">
        <v>371</v>
      </c>
    </row>
    <row r="297" spans="1:9" s="4" customFormat="1" ht="38.1" customHeight="1" outlineLevel="1" x14ac:dyDescent="0.2">
      <c r="A297" s="5" t="s">
        <v>340</v>
      </c>
      <c r="B297" s="5" t="s">
        <v>365</v>
      </c>
      <c r="C297" s="5" t="s">
        <v>372</v>
      </c>
      <c r="D297" s="5" t="s">
        <v>12</v>
      </c>
      <c r="E297" s="5" t="s">
        <v>13</v>
      </c>
      <c r="F297" s="5" t="s">
        <v>14</v>
      </c>
      <c r="G297" s="6">
        <v>31500</v>
      </c>
      <c r="H297" s="292" t="str">
        <f>HYPERLINK("https://adv-map.ru/place/?LINK=d6390f21e4a87917039cc16700d400a6","Ссылка")</f>
        <v>Ссылка</v>
      </c>
      <c r="I297" s="5" t="s">
        <v>373</v>
      </c>
    </row>
    <row r="298" spans="1:9" s="4" customFormat="1" ht="38.1" customHeight="1" outlineLevel="1" x14ac:dyDescent="0.2">
      <c r="A298" s="5" t="s">
        <v>340</v>
      </c>
      <c r="B298" s="5" t="s">
        <v>365</v>
      </c>
      <c r="C298" s="5" t="s">
        <v>372</v>
      </c>
      <c r="D298" s="5" t="s">
        <v>12</v>
      </c>
      <c r="E298" s="5" t="s">
        <v>13</v>
      </c>
      <c r="F298" s="5" t="s">
        <v>16</v>
      </c>
      <c r="G298" s="6">
        <v>25200</v>
      </c>
      <c r="H298" s="293" t="str">
        <f>HYPERLINK("https://adv-map.ru/place/?LINK=9eb4af677f759b30262547c44d892858","Ссылка")</f>
        <v>Ссылка</v>
      </c>
      <c r="I298" s="5" t="s">
        <v>373</v>
      </c>
    </row>
    <row r="299" spans="1:9" s="4" customFormat="1" ht="38.1" customHeight="1" outlineLevel="1" x14ac:dyDescent="0.2">
      <c r="A299" s="5" t="s">
        <v>340</v>
      </c>
      <c r="B299" s="5" t="s">
        <v>365</v>
      </c>
      <c r="C299" s="5" t="s">
        <v>374</v>
      </c>
      <c r="D299" s="5" t="s">
        <v>347</v>
      </c>
      <c r="E299" s="5" t="s">
        <v>348</v>
      </c>
      <c r="F299" s="5" t="s">
        <v>14</v>
      </c>
      <c r="G299" s="6">
        <v>20160</v>
      </c>
      <c r="H299" s="294" t="str">
        <f>HYPERLINK("https://adv-map.ru/place/?LINK=3a24cf9ae0c3e985c2c979060cbddf5f","Ссылка")</f>
        <v>Ссылка</v>
      </c>
      <c r="I299" s="5" t="s">
        <v>375</v>
      </c>
    </row>
    <row r="300" spans="1:9" s="4" customFormat="1" ht="38.1" customHeight="1" outlineLevel="1" x14ac:dyDescent="0.2">
      <c r="A300" s="5" t="s">
        <v>340</v>
      </c>
      <c r="B300" s="5" t="s">
        <v>365</v>
      </c>
      <c r="C300" s="5" t="s">
        <v>374</v>
      </c>
      <c r="D300" s="5" t="s">
        <v>347</v>
      </c>
      <c r="E300" s="5" t="s">
        <v>348</v>
      </c>
      <c r="F300" s="5" t="s">
        <v>16</v>
      </c>
      <c r="G300" s="6">
        <v>15120</v>
      </c>
      <c r="H300" s="295" t="str">
        <f>HYPERLINK("https://adv-map.ru/place/?LINK=e092f20c29581782a10d02c93415e0e6","Ссылка")</f>
        <v>Ссылка</v>
      </c>
      <c r="I300" s="5" t="s">
        <v>375</v>
      </c>
    </row>
    <row r="301" spans="1:9" s="4" customFormat="1" ht="38.1" customHeight="1" outlineLevel="1" x14ac:dyDescent="0.2">
      <c r="A301" s="5" t="s">
        <v>340</v>
      </c>
      <c r="B301" s="5" t="s">
        <v>365</v>
      </c>
      <c r="C301" s="5" t="s">
        <v>376</v>
      </c>
      <c r="D301" s="5" t="s">
        <v>12</v>
      </c>
      <c r="E301" s="5" t="s">
        <v>13</v>
      </c>
      <c r="F301" s="5" t="s">
        <v>14</v>
      </c>
      <c r="G301" s="6">
        <v>31500</v>
      </c>
      <c r="H301" s="296" t="str">
        <f>HYPERLINK("https://adv-map.ru/place/?LINK=f6374b58d5b8e06c43cb1252a817dd56","Ссылка")</f>
        <v>Ссылка</v>
      </c>
      <c r="I301" s="5" t="s">
        <v>377</v>
      </c>
    </row>
    <row r="302" spans="1:9" s="4" customFormat="1" ht="38.1" customHeight="1" outlineLevel="1" x14ac:dyDescent="0.2">
      <c r="A302" s="5" t="s">
        <v>340</v>
      </c>
      <c r="B302" s="5" t="s">
        <v>365</v>
      </c>
      <c r="C302" s="5" t="s">
        <v>376</v>
      </c>
      <c r="D302" s="5" t="s">
        <v>12</v>
      </c>
      <c r="E302" s="5" t="s">
        <v>13</v>
      </c>
      <c r="F302" s="5" t="s">
        <v>16</v>
      </c>
      <c r="G302" s="6">
        <v>25200</v>
      </c>
      <c r="H302" s="297" t="str">
        <f>HYPERLINK("https://adv-map.ru/place/?LINK=394c0c44fe1f71953ef2cff403459654","Ссылка")</f>
        <v>Ссылка</v>
      </c>
      <c r="I302" s="5" t="s">
        <v>377</v>
      </c>
    </row>
    <row r="303" spans="1:9" s="4" customFormat="1" ht="38.1" customHeight="1" outlineLevel="1" x14ac:dyDescent="0.2">
      <c r="A303" s="5" t="s">
        <v>340</v>
      </c>
      <c r="B303" s="5" t="s">
        <v>365</v>
      </c>
      <c r="C303" s="5" t="s">
        <v>378</v>
      </c>
      <c r="D303" s="5" t="s">
        <v>347</v>
      </c>
      <c r="E303" s="5" t="s">
        <v>348</v>
      </c>
      <c r="F303" s="5" t="s">
        <v>14</v>
      </c>
      <c r="G303" s="6">
        <v>20160</v>
      </c>
      <c r="H303" s="298" t="str">
        <f>HYPERLINK("https://adv-map.ru/place/?LINK=87512a6c6c7bc4dc7d1e2829a0ed64ef","Ссылка")</f>
        <v>Ссылка</v>
      </c>
      <c r="I303" s="5" t="s">
        <v>379</v>
      </c>
    </row>
    <row r="304" spans="1:9" s="4" customFormat="1" ht="38.1" customHeight="1" outlineLevel="1" x14ac:dyDescent="0.2">
      <c r="A304" s="5" t="s">
        <v>340</v>
      </c>
      <c r="B304" s="5" t="s">
        <v>365</v>
      </c>
      <c r="C304" s="5" t="s">
        <v>378</v>
      </c>
      <c r="D304" s="5" t="s">
        <v>347</v>
      </c>
      <c r="E304" s="5" t="s">
        <v>348</v>
      </c>
      <c r="F304" s="5" t="s">
        <v>16</v>
      </c>
      <c r="G304" s="6">
        <v>15120</v>
      </c>
      <c r="H304" s="299" t="str">
        <f>HYPERLINK("https://adv-map.ru/place/?LINK=deb4798adcdef19f1a921166439d9cb4","Ссылка")</f>
        <v>Ссылка</v>
      </c>
      <c r="I304" s="5" t="s">
        <v>379</v>
      </c>
    </row>
    <row r="305" spans="1:9" s="4" customFormat="1" ht="38.1" customHeight="1" outlineLevel="1" x14ac:dyDescent="0.2">
      <c r="A305" s="5" t="s">
        <v>340</v>
      </c>
      <c r="B305" s="5" t="s">
        <v>365</v>
      </c>
      <c r="C305" s="5" t="s">
        <v>380</v>
      </c>
      <c r="D305" s="5" t="s">
        <v>347</v>
      </c>
      <c r="E305" s="5" t="s">
        <v>348</v>
      </c>
      <c r="F305" s="5" t="s">
        <v>14</v>
      </c>
      <c r="G305" s="6">
        <v>20160</v>
      </c>
      <c r="H305" s="300" t="str">
        <f>HYPERLINK("https://adv-map.ru/place/?LINK=64452c75e139e4294d52dfe04ed6b708","Ссылка")</f>
        <v>Ссылка</v>
      </c>
      <c r="I305" s="5" t="s">
        <v>381</v>
      </c>
    </row>
    <row r="306" spans="1:9" s="4" customFormat="1" ht="38.1" customHeight="1" outlineLevel="1" x14ac:dyDescent="0.2">
      <c r="A306" s="5" t="s">
        <v>340</v>
      </c>
      <c r="B306" s="5" t="s">
        <v>365</v>
      </c>
      <c r="C306" s="5" t="s">
        <v>380</v>
      </c>
      <c r="D306" s="5" t="s">
        <v>347</v>
      </c>
      <c r="E306" s="5" t="s">
        <v>348</v>
      </c>
      <c r="F306" s="5" t="s">
        <v>16</v>
      </c>
      <c r="G306" s="6">
        <v>15120</v>
      </c>
      <c r="H306" s="301" t="str">
        <f>HYPERLINK("https://adv-map.ru/place/?LINK=814bf0c2c1fb837c932cb5e80839a4a4","Ссылка")</f>
        <v>Ссылка</v>
      </c>
      <c r="I306" s="5" t="s">
        <v>381</v>
      </c>
    </row>
    <row r="307" spans="1:9" s="4" customFormat="1" ht="38.1" customHeight="1" outlineLevel="1" x14ac:dyDescent="0.2">
      <c r="A307" s="5" t="s">
        <v>340</v>
      </c>
      <c r="B307" s="5" t="s">
        <v>365</v>
      </c>
      <c r="C307" s="5" t="s">
        <v>382</v>
      </c>
      <c r="D307" s="5" t="s">
        <v>12</v>
      </c>
      <c r="E307" s="5" t="s">
        <v>13</v>
      </c>
      <c r="F307" s="5" t="s">
        <v>14</v>
      </c>
      <c r="G307" s="6">
        <v>31500</v>
      </c>
      <c r="H307" s="302" t="str">
        <f>HYPERLINK("https://adv-map.ru/place/?LINK=b6ed68c4bd2032bb4b9fffc2d465a8f3","Ссылка")</f>
        <v>Ссылка</v>
      </c>
      <c r="I307" s="5" t="s">
        <v>383</v>
      </c>
    </row>
    <row r="308" spans="1:9" s="4" customFormat="1" ht="38.1" customHeight="1" outlineLevel="1" x14ac:dyDescent="0.2">
      <c r="A308" s="5" t="s">
        <v>340</v>
      </c>
      <c r="B308" s="5" t="s">
        <v>365</v>
      </c>
      <c r="C308" s="5" t="s">
        <v>382</v>
      </c>
      <c r="D308" s="5" t="s">
        <v>12</v>
      </c>
      <c r="E308" s="5" t="s">
        <v>13</v>
      </c>
      <c r="F308" s="5" t="s">
        <v>16</v>
      </c>
      <c r="G308" s="6">
        <v>25200</v>
      </c>
      <c r="H308" s="303" t="str">
        <f>HYPERLINK("https://adv-map.ru/place/?LINK=e31b1eb4167a9ad8114fe7fc2974b90a","Ссылка")</f>
        <v>Ссылка</v>
      </c>
      <c r="I308" s="5" t="s">
        <v>383</v>
      </c>
    </row>
    <row r="309" spans="1:9" s="4" customFormat="1" ht="38.1" customHeight="1" outlineLevel="1" x14ac:dyDescent="0.2">
      <c r="A309" s="5" t="s">
        <v>340</v>
      </c>
      <c r="B309" s="5" t="s">
        <v>365</v>
      </c>
      <c r="C309" s="5" t="s">
        <v>384</v>
      </c>
      <c r="D309" s="5" t="s">
        <v>347</v>
      </c>
      <c r="E309" s="5" t="s">
        <v>348</v>
      </c>
      <c r="F309" s="5" t="s">
        <v>14</v>
      </c>
      <c r="G309" s="6">
        <v>20160</v>
      </c>
      <c r="H309" s="304" t="str">
        <f>HYPERLINK("https://adv-map.ru/place/?LINK=c5e116253c4e265358847671078e0edc","Ссылка")</f>
        <v>Ссылка</v>
      </c>
      <c r="I309" s="5" t="s">
        <v>385</v>
      </c>
    </row>
    <row r="310" spans="1:9" s="4" customFormat="1" ht="38.1" customHeight="1" outlineLevel="1" x14ac:dyDescent="0.2">
      <c r="A310" s="5" t="s">
        <v>340</v>
      </c>
      <c r="B310" s="5" t="s">
        <v>365</v>
      </c>
      <c r="C310" s="5" t="s">
        <v>384</v>
      </c>
      <c r="D310" s="5" t="s">
        <v>347</v>
      </c>
      <c r="E310" s="5" t="s">
        <v>348</v>
      </c>
      <c r="F310" s="5" t="s">
        <v>16</v>
      </c>
      <c r="G310" s="6">
        <v>15120</v>
      </c>
      <c r="H310" s="305" t="str">
        <f>HYPERLINK("https://adv-map.ru/place/?LINK=5657a5a03c71a9fb4bd95b00621f7c4b","Ссылка")</f>
        <v>Ссылка</v>
      </c>
      <c r="I310" s="5" t="s">
        <v>385</v>
      </c>
    </row>
    <row r="311" spans="1:9" s="4" customFormat="1" ht="38.1" customHeight="1" outlineLevel="1" x14ac:dyDescent="0.2">
      <c r="A311" s="5" t="s">
        <v>340</v>
      </c>
      <c r="B311" s="5" t="s">
        <v>365</v>
      </c>
      <c r="C311" s="5" t="s">
        <v>386</v>
      </c>
      <c r="D311" s="5" t="s">
        <v>347</v>
      </c>
      <c r="E311" s="5" t="s">
        <v>348</v>
      </c>
      <c r="F311" s="5" t="s">
        <v>14</v>
      </c>
      <c r="G311" s="6">
        <v>20160</v>
      </c>
      <c r="H311" s="306" t="str">
        <f>HYPERLINK("https://adv-map.ru/place/?LINK=5f018ca52056855f309a589e338f920b","Ссылка")</f>
        <v>Ссылка</v>
      </c>
      <c r="I311" s="5" t="s">
        <v>387</v>
      </c>
    </row>
    <row r="312" spans="1:9" s="4" customFormat="1" ht="38.1" customHeight="1" outlineLevel="1" x14ac:dyDescent="0.2">
      <c r="A312" s="5" t="s">
        <v>340</v>
      </c>
      <c r="B312" s="5" t="s">
        <v>365</v>
      </c>
      <c r="C312" s="5" t="s">
        <v>386</v>
      </c>
      <c r="D312" s="5" t="s">
        <v>347</v>
      </c>
      <c r="E312" s="5" t="s">
        <v>348</v>
      </c>
      <c r="F312" s="5" t="s">
        <v>16</v>
      </c>
      <c r="G312" s="6">
        <v>15120</v>
      </c>
      <c r="H312" s="307" t="str">
        <f>HYPERLINK("https://adv-map.ru/place/?LINK=03bc88d5e2e83d73ae12865c013ad4e4","Ссылка")</f>
        <v>Ссылка</v>
      </c>
      <c r="I312" s="5" t="s">
        <v>387</v>
      </c>
    </row>
    <row r="313" spans="1:9" s="4" customFormat="1" ht="38.1" customHeight="1" outlineLevel="1" x14ac:dyDescent="0.2">
      <c r="A313" s="5" t="s">
        <v>340</v>
      </c>
      <c r="B313" s="5" t="s">
        <v>365</v>
      </c>
      <c r="C313" s="5" t="s">
        <v>388</v>
      </c>
      <c r="D313" s="5" t="s">
        <v>12</v>
      </c>
      <c r="E313" s="5" t="s">
        <v>13</v>
      </c>
      <c r="F313" s="5" t="s">
        <v>14</v>
      </c>
      <c r="G313" s="6">
        <v>31500</v>
      </c>
      <c r="H313" s="308" t="str">
        <f>HYPERLINK("https://adv-map.ru/place/?LINK=7196048aa6401df5852dfa4cf0d1fa88","Ссылка")</f>
        <v>Ссылка</v>
      </c>
      <c r="I313" s="5" t="s">
        <v>389</v>
      </c>
    </row>
    <row r="314" spans="1:9" s="4" customFormat="1" ht="51" customHeight="1" outlineLevel="1" x14ac:dyDescent="0.2">
      <c r="A314" s="5" t="s">
        <v>340</v>
      </c>
      <c r="B314" s="5" t="s">
        <v>365</v>
      </c>
      <c r="C314" s="5" t="s">
        <v>388</v>
      </c>
      <c r="D314" s="5" t="s">
        <v>12</v>
      </c>
      <c r="E314" s="5" t="s">
        <v>13</v>
      </c>
      <c r="F314" s="5" t="s">
        <v>16</v>
      </c>
      <c r="G314" s="6">
        <v>25200</v>
      </c>
      <c r="H314" s="309" t="str">
        <f>HYPERLINK("https://adv-map.ru/place/?LINK=53757dd293c97521367e287d64e9338a","Ссылка")</f>
        <v>Ссылка</v>
      </c>
      <c r="I314" s="5" t="s">
        <v>389</v>
      </c>
    </row>
    <row r="315" spans="1:9" s="4" customFormat="1" ht="38.1" customHeight="1" outlineLevel="1" x14ac:dyDescent="0.2">
      <c r="A315" s="5" t="s">
        <v>340</v>
      </c>
      <c r="B315" s="5" t="s">
        <v>365</v>
      </c>
      <c r="C315" s="5" t="s">
        <v>390</v>
      </c>
      <c r="D315" s="5" t="s">
        <v>12</v>
      </c>
      <c r="E315" s="5" t="s">
        <v>13</v>
      </c>
      <c r="F315" s="5" t="s">
        <v>14</v>
      </c>
      <c r="G315" s="6">
        <v>31500</v>
      </c>
      <c r="H315" s="310" t="str">
        <f>HYPERLINK("https://adv-map.ru/place/?LINK=78ce88521bebeb994e4902cb187700b4","Ссылка")</f>
        <v>Ссылка</v>
      </c>
      <c r="I315" s="5" t="s">
        <v>391</v>
      </c>
    </row>
    <row r="316" spans="1:9" s="4" customFormat="1" ht="38.1" customHeight="1" outlineLevel="1" x14ac:dyDescent="0.2">
      <c r="A316" s="5" t="s">
        <v>340</v>
      </c>
      <c r="B316" s="5" t="s">
        <v>365</v>
      </c>
      <c r="C316" s="5" t="s">
        <v>390</v>
      </c>
      <c r="D316" s="5" t="s">
        <v>12</v>
      </c>
      <c r="E316" s="5" t="s">
        <v>13</v>
      </c>
      <c r="F316" s="5" t="s">
        <v>16</v>
      </c>
      <c r="G316" s="6">
        <v>25200</v>
      </c>
      <c r="H316" s="311" t="str">
        <f>HYPERLINK("https://adv-map.ru/place/?LINK=dd6235c948f14423fc35c1233d48bef9","Ссылка")</f>
        <v>Ссылка</v>
      </c>
      <c r="I316" s="5" t="s">
        <v>391</v>
      </c>
    </row>
    <row r="317" spans="1:9" s="4" customFormat="1" ht="51" customHeight="1" outlineLevel="1" x14ac:dyDescent="0.2">
      <c r="A317" s="5" t="s">
        <v>340</v>
      </c>
      <c r="B317" s="5" t="s">
        <v>354</v>
      </c>
      <c r="C317" s="5" t="s">
        <v>392</v>
      </c>
      <c r="D317" s="5" t="s">
        <v>393</v>
      </c>
      <c r="E317" s="5" t="s">
        <v>348</v>
      </c>
      <c r="F317" s="5" t="s">
        <v>14</v>
      </c>
      <c r="G317" s="6">
        <v>31500</v>
      </c>
      <c r="H317" s="312" t="str">
        <f>HYPERLINK("https://adv-map.ru/place/?LINK=08cd00d53d47dc554270cad4ddb22281","Ссылка")</f>
        <v>Ссылка</v>
      </c>
      <c r="I317" s="5" t="s">
        <v>394</v>
      </c>
    </row>
    <row r="318" spans="1:9" s="4" customFormat="1" ht="51" customHeight="1" outlineLevel="1" x14ac:dyDescent="0.2">
      <c r="A318" s="5" t="s">
        <v>340</v>
      </c>
      <c r="B318" s="5" t="s">
        <v>354</v>
      </c>
      <c r="C318" s="5" t="s">
        <v>392</v>
      </c>
      <c r="D318" s="5" t="s">
        <v>393</v>
      </c>
      <c r="E318" s="5" t="s">
        <v>348</v>
      </c>
      <c r="F318" s="5" t="s">
        <v>16</v>
      </c>
      <c r="G318" s="6">
        <v>27300</v>
      </c>
      <c r="H318" s="313" t="str">
        <f>HYPERLINK("https://adv-map.ru/place/?LINK=2d68366b78a32552acaf892579f9dc3e","Ссылка")</f>
        <v>Ссылка</v>
      </c>
      <c r="I318" s="5" t="s">
        <v>394</v>
      </c>
    </row>
    <row r="319" spans="1:9" s="4" customFormat="1" ht="38.1" customHeight="1" outlineLevel="1" x14ac:dyDescent="0.2">
      <c r="A319" s="5" t="s">
        <v>340</v>
      </c>
      <c r="B319" s="5" t="s">
        <v>354</v>
      </c>
      <c r="C319" s="5" t="s">
        <v>395</v>
      </c>
      <c r="D319" s="5" t="s">
        <v>396</v>
      </c>
      <c r="E319" s="5" t="s">
        <v>397</v>
      </c>
      <c r="F319" s="5" t="s">
        <v>14</v>
      </c>
      <c r="G319" s="6">
        <v>30240</v>
      </c>
      <c r="H319" s="314" t="str">
        <f>HYPERLINK("https://adv-map.ru/place/?LINK=a4a8d20251dffeda3f25a7a32db0c912","Ссылка")</f>
        <v>Ссылка</v>
      </c>
      <c r="I319" s="5" t="s">
        <v>398</v>
      </c>
    </row>
    <row r="320" spans="1:9" s="4" customFormat="1" ht="38.1" customHeight="1" outlineLevel="1" x14ac:dyDescent="0.2">
      <c r="A320" s="5" t="s">
        <v>340</v>
      </c>
      <c r="B320" s="5" t="s">
        <v>354</v>
      </c>
      <c r="C320" s="5" t="s">
        <v>395</v>
      </c>
      <c r="D320" s="5" t="s">
        <v>396</v>
      </c>
      <c r="E320" s="5" t="s">
        <v>397</v>
      </c>
      <c r="F320" s="5" t="s">
        <v>16</v>
      </c>
      <c r="G320" s="6">
        <v>25200</v>
      </c>
      <c r="H320" s="315" t="str">
        <f>HYPERLINK("https://adv-map.ru/place/?LINK=58bc79cc73c5a57d2564275b7bae27e1","Ссылка")</f>
        <v>Ссылка</v>
      </c>
      <c r="I320" s="5" t="s">
        <v>398</v>
      </c>
    </row>
    <row r="321" spans="1:9" s="4" customFormat="1" ht="38.1" customHeight="1" outlineLevel="1" x14ac:dyDescent="0.2">
      <c r="A321" s="5" t="s">
        <v>340</v>
      </c>
      <c r="B321" s="5" t="s">
        <v>354</v>
      </c>
      <c r="C321" s="5" t="s">
        <v>399</v>
      </c>
      <c r="D321" s="5" t="s">
        <v>347</v>
      </c>
      <c r="E321" s="5" t="s">
        <v>348</v>
      </c>
      <c r="F321" s="5" t="s">
        <v>14</v>
      </c>
      <c r="G321" s="6">
        <v>25200</v>
      </c>
      <c r="H321" s="316" t="str">
        <f>HYPERLINK("https://adv-map.ru/place/?LINK=0e361b41fd4a7646815d84ff2ed8a597","Ссылка")</f>
        <v>Ссылка</v>
      </c>
      <c r="I321" s="5" t="s">
        <v>400</v>
      </c>
    </row>
    <row r="322" spans="1:9" s="4" customFormat="1" ht="38.1" customHeight="1" outlineLevel="1" x14ac:dyDescent="0.2">
      <c r="A322" s="5" t="s">
        <v>340</v>
      </c>
      <c r="B322" s="5" t="s">
        <v>354</v>
      </c>
      <c r="C322" s="5" t="s">
        <v>399</v>
      </c>
      <c r="D322" s="5" t="s">
        <v>347</v>
      </c>
      <c r="E322" s="5" t="s">
        <v>348</v>
      </c>
      <c r="F322" s="5" t="s">
        <v>16</v>
      </c>
      <c r="G322" s="6">
        <v>20160</v>
      </c>
      <c r="H322" s="317" t="str">
        <f>HYPERLINK("https://adv-map.ru/place/?LINK=5cf424e3832496c63a8c519f6ac82571","Ссылка")</f>
        <v>Ссылка</v>
      </c>
      <c r="I322" s="5" t="s">
        <v>400</v>
      </c>
    </row>
    <row r="323" spans="1:9" s="4" customFormat="1" ht="38.1" customHeight="1" outlineLevel="1" x14ac:dyDescent="0.2">
      <c r="A323" s="5" t="s">
        <v>340</v>
      </c>
      <c r="B323" s="5" t="s">
        <v>354</v>
      </c>
      <c r="C323" s="5" t="s">
        <v>401</v>
      </c>
      <c r="D323" s="5" t="s">
        <v>347</v>
      </c>
      <c r="E323" s="5" t="s">
        <v>348</v>
      </c>
      <c r="F323" s="5" t="s">
        <v>14</v>
      </c>
      <c r="G323" s="6">
        <v>25200</v>
      </c>
      <c r="H323" s="318" t="str">
        <f>HYPERLINK("https://adv-map.ru/place/?LINK=fd06b826c2b0af3c9f57c2468b72a0fd","Ссылка")</f>
        <v>Ссылка</v>
      </c>
      <c r="I323" s="5" t="s">
        <v>402</v>
      </c>
    </row>
    <row r="324" spans="1:9" s="4" customFormat="1" ht="38.1" customHeight="1" outlineLevel="1" x14ac:dyDescent="0.2">
      <c r="A324" s="5" t="s">
        <v>340</v>
      </c>
      <c r="B324" s="5" t="s">
        <v>354</v>
      </c>
      <c r="C324" s="5" t="s">
        <v>401</v>
      </c>
      <c r="D324" s="5" t="s">
        <v>347</v>
      </c>
      <c r="E324" s="5" t="s">
        <v>348</v>
      </c>
      <c r="F324" s="5" t="s">
        <v>16</v>
      </c>
      <c r="G324" s="6">
        <v>20160</v>
      </c>
      <c r="H324" s="319" t="str">
        <f>HYPERLINK("https://adv-map.ru/place/?LINK=70c74f25b838f42481029ce290a98ccc","Ссылка")</f>
        <v>Ссылка</v>
      </c>
      <c r="I324" s="5" t="s">
        <v>403</v>
      </c>
    </row>
    <row r="325" spans="1:9" s="4" customFormat="1" ht="38.1" customHeight="1" outlineLevel="1" x14ac:dyDescent="0.2">
      <c r="A325" s="5" t="s">
        <v>340</v>
      </c>
      <c r="B325" s="5" t="s">
        <v>354</v>
      </c>
      <c r="C325" s="5" t="s">
        <v>404</v>
      </c>
      <c r="D325" s="5" t="s">
        <v>405</v>
      </c>
      <c r="E325" s="5" t="s">
        <v>348</v>
      </c>
      <c r="F325" s="5" t="s">
        <v>14</v>
      </c>
      <c r="G325" s="6">
        <v>27720</v>
      </c>
      <c r="H325" s="320" t="str">
        <f>HYPERLINK("https://adv-map.ru/place/?LINK=921df13d8dd5e19ddf93697a15b0167d","Ссылка")</f>
        <v>Ссылка</v>
      </c>
      <c r="I325" s="5" t="s">
        <v>406</v>
      </c>
    </row>
    <row r="326" spans="1:9" s="4" customFormat="1" ht="38.1" customHeight="1" outlineLevel="1" x14ac:dyDescent="0.2">
      <c r="A326" s="5" t="s">
        <v>340</v>
      </c>
      <c r="B326" s="5" t="s">
        <v>354</v>
      </c>
      <c r="C326" s="5" t="s">
        <v>404</v>
      </c>
      <c r="D326" s="5" t="s">
        <v>405</v>
      </c>
      <c r="E326" s="5" t="s">
        <v>348</v>
      </c>
      <c r="F326" s="5" t="s">
        <v>16</v>
      </c>
      <c r="G326" s="6">
        <v>25200</v>
      </c>
      <c r="H326" s="321" t="str">
        <f>HYPERLINK("https://adv-map.ru/place/?LINK=3d8263cc63caf14efde66867de8df636","Ссылка")</f>
        <v>Ссылка</v>
      </c>
      <c r="I326" s="5" t="s">
        <v>406</v>
      </c>
    </row>
    <row r="327" spans="1:9" s="4" customFormat="1" ht="38.1" customHeight="1" outlineLevel="1" x14ac:dyDescent="0.2">
      <c r="A327" s="5" t="s">
        <v>340</v>
      </c>
      <c r="B327" s="5" t="s">
        <v>354</v>
      </c>
      <c r="C327" s="5" t="s">
        <v>407</v>
      </c>
      <c r="D327" s="5" t="s">
        <v>405</v>
      </c>
      <c r="E327" s="5" t="s">
        <v>348</v>
      </c>
      <c r="F327" s="5" t="s">
        <v>14</v>
      </c>
      <c r="G327" s="6">
        <v>30240</v>
      </c>
      <c r="H327" s="322" t="str">
        <f>HYPERLINK("https://adv-map.ru/place/?LINK=aaaa8bf9b1d373c87093a2b55c7f6e10","Ссылка")</f>
        <v>Ссылка</v>
      </c>
      <c r="I327" s="5" t="s">
        <v>408</v>
      </c>
    </row>
    <row r="328" spans="1:9" s="4" customFormat="1" ht="38.1" customHeight="1" outlineLevel="1" x14ac:dyDescent="0.2">
      <c r="A328" s="5" t="s">
        <v>340</v>
      </c>
      <c r="B328" s="5" t="s">
        <v>354</v>
      </c>
      <c r="C328" s="5" t="s">
        <v>407</v>
      </c>
      <c r="D328" s="5" t="s">
        <v>405</v>
      </c>
      <c r="E328" s="5" t="s">
        <v>348</v>
      </c>
      <c r="F328" s="5" t="s">
        <v>16</v>
      </c>
      <c r="G328" s="6">
        <v>25200</v>
      </c>
      <c r="H328" s="323" t="str">
        <f>HYPERLINK("https://adv-map.ru/place/?LINK=84aadfbeedd09c4b01538e7383bfe84b","Ссылка")</f>
        <v>Ссылка</v>
      </c>
      <c r="I328" s="5" t="s">
        <v>408</v>
      </c>
    </row>
    <row r="329" spans="1:9" s="4" customFormat="1" ht="38.1" customHeight="1" outlineLevel="1" x14ac:dyDescent="0.2">
      <c r="A329" s="5" t="s">
        <v>340</v>
      </c>
      <c r="B329" s="5" t="s">
        <v>354</v>
      </c>
      <c r="C329" s="5" t="s">
        <v>409</v>
      </c>
      <c r="D329" s="5" t="s">
        <v>347</v>
      </c>
      <c r="E329" s="5" t="s">
        <v>348</v>
      </c>
      <c r="F329" s="5" t="s">
        <v>14</v>
      </c>
      <c r="G329" s="6">
        <v>30240</v>
      </c>
      <c r="H329" s="324" t="str">
        <f>HYPERLINK("https://adv-map.ru/place/?LINK=c079fdd9fc34b2fead5cd2ef2d9317e6","Ссылка")</f>
        <v>Ссылка</v>
      </c>
      <c r="I329" s="5" t="s">
        <v>410</v>
      </c>
    </row>
    <row r="330" spans="1:9" s="4" customFormat="1" ht="38.1" customHeight="1" outlineLevel="1" x14ac:dyDescent="0.2">
      <c r="A330" s="5" t="s">
        <v>340</v>
      </c>
      <c r="B330" s="5" t="s">
        <v>354</v>
      </c>
      <c r="C330" s="5" t="s">
        <v>409</v>
      </c>
      <c r="D330" s="5" t="s">
        <v>347</v>
      </c>
      <c r="E330" s="5" t="s">
        <v>348</v>
      </c>
      <c r="F330" s="5" t="s">
        <v>16</v>
      </c>
      <c r="G330" s="6">
        <v>25200</v>
      </c>
      <c r="H330" s="325" t="str">
        <f>HYPERLINK("https://adv-map.ru/place/?LINK=117a3d058542887a09ca3ef47c4672e1","Ссылка")</f>
        <v>Ссылка</v>
      </c>
      <c r="I330" s="5" t="s">
        <v>411</v>
      </c>
    </row>
    <row r="331" spans="1:9" s="4" customFormat="1" ht="38.1" customHeight="1" outlineLevel="1" x14ac:dyDescent="0.2">
      <c r="A331" s="5" t="s">
        <v>340</v>
      </c>
      <c r="B331" s="5" t="s">
        <v>354</v>
      </c>
      <c r="C331" s="5" t="s">
        <v>412</v>
      </c>
      <c r="D331" s="5" t="s">
        <v>413</v>
      </c>
      <c r="E331" s="5" t="s">
        <v>414</v>
      </c>
      <c r="F331" s="5" t="s">
        <v>28</v>
      </c>
      <c r="G331" s="6">
        <v>42000</v>
      </c>
      <c r="H331" s="326" t="str">
        <f>HYPERLINK("https://adv-map.ru/place/?LINK=85ef6cb7b238081ed7e5019dc361605e","Ссылка")</f>
        <v>Ссылка</v>
      </c>
      <c r="I331" s="5" t="s">
        <v>415</v>
      </c>
    </row>
    <row r="332" spans="1:9" s="4" customFormat="1" ht="38.1" customHeight="1" outlineLevel="1" x14ac:dyDescent="0.2">
      <c r="A332" s="5" t="s">
        <v>340</v>
      </c>
      <c r="B332" s="5" t="s">
        <v>354</v>
      </c>
      <c r="C332" s="5" t="s">
        <v>412</v>
      </c>
      <c r="D332" s="5" t="s">
        <v>413</v>
      </c>
      <c r="E332" s="5" t="s">
        <v>414</v>
      </c>
      <c r="F332" s="5" t="s">
        <v>30</v>
      </c>
      <c r="G332" s="6">
        <v>42000</v>
      </c>
      <c r="H332" s="327" t="str">
        <f>HYPERLINK("https://adv-map.ru/place/?LINK=814e5b05549f1c21eaad7f4f734ba587","Ссылка")</f>
        <v>Ссылка</v>
      </c>
      <c r="I332" s="5" t="s">
        <v>415</v>
      </c>
    </row>
    <row r="333" spans="1:9" s="4" customFormat="1" ht="38.1" customHeight="1" outlineLevel="1" x14ac:dyDescent="0.2">
      <c r="A333" s="5" t="s">
        <v>340</v>
      </c>
      <c r="B333" s="5" t="s">
        <v>354</v>
      </c>
      <c r="C333" s="5" t="s">
        <v>412</v>
      </c>
      <c r="D333" s="5" t="s">
        <v>413</v>
      </c>
      <c r="E333" s="5" t="s">
        <v>414</v>
      </c>
      <c r="F333" s="5" t="s">
        <v>31</v>
      </c>
      <c r="G333" s="6">
        <v>42000</v>
      </c>
      <c r="H333" s="328" t="str">
        <f>HYPERLINK("https://adv-map.ru/place/?LINK=4fd9153398ed295ddde238c43a241881","Ссылка")</f>
        <v>Ссылка</v>
      </c>
      <c r="I333" s="5" t="s">
        <v>415</v>
      </c>
    </row>
    <row r="334" spans="1:9" s="4" customFormat="1" ht="38.1" customHeight="1" outlineLevel="1" x14ac:dyDescent="0.2">
      <c r="A334" s="5" t="s">
        <v>340</v>
      </c>
      <c r="B334" s="5" t="s">
        <v>354</v>
      </c>
      <c r="C334" s="5" t="s">
        <v>416</v>
      </c>
      <c r="D334" s="5" t="s">
        <v>347</v>
      </c>
      <c r="E334" s="5" t="s">
        <v>348</v>
      </c>
      <c r="F334" s="5" t="s">
        <v>14</v>
      </c>
      <c r="G334" s="6">
        <v>27720</v>
      </c>
      <c r="H334" s="329" t="str">
        <f>HYPERLINK("https://adv-map.ru/place/?LINK=abec1b14ccc2b2e809ad60fee263f035","Ссылка")</f>
        <v>Ссылка</v>
      </c>
      <c r="I334" s="5" t="s">
        <v>417</v>
      </c>
    </row>
    <row r="335" spans="1:9" s="4" customFormat="1" ht="38.1" customHeight="1" outlineLevel="1" x14ac:dyDescent="0.2">
      <c r="A335" s="5" t="s">
        <v>340</v>
      </c>
      <c r="B335" s="5" t="s">
        <v>354</v>
      </c>
      <c r="C335" s="5" t="s">
        <v>416</v>
      </c>
      <c r="D335" s="5" t="s">
        <v>347</v>
      </c>
      <c r="E335" s="5" t="s">
        <v>348</v>
      </c>
      <c r="F335" s="5" t="s">
        <v>16</v>
      </c>
      <c r="G335" s="6">
        <v>22680</v>
      </c>
      <c r="H335" s="330" t="str">
        <f>HYPERLINK("https://adv-map.ru/place/?LINK=85b1d91dc6630b7bec9d6d40e8abece7","Ссылка")</f>
        <v>Ссылка</v>
      </c>
      <c r="I335" s="5" t="s">
        <v>418</v>
      </c>
    </row>
    <row r="336" spans="1:9" s="4" customFormat="1" ht="38.1" customHeight="1" outlineLevel="1" x14ac:dyDescent="0.2">
      <c r="A336" s="5" t="s">
        <v>340</v>
      </c>
      <c r="B336" s="5" t="s">
        <v>354</v>
      </c>
      <c r="C336" s="5" t="s">
        <v>419</v>
      </c>
      <c r="D336" s="5" t="s">
        <v>12</v>
      </c>
      <c r="E336" s="5" t="s">
        <v>13</v>
      </c>
      <c r="F336" s="5" t="s">
        <v>14</v>
      </c>
      <c r="G336" s="6">
        <v>48300</v>
      </c>
      <c r="H336" s="331" t="str">
        <f>HYPERLINK("https://adv-map.ru/place/?LINK=2a6dc972eaf4b19579a52a495445c5a3","Ссылка")</f>
        <v>Ссылка</v>
      </c>
      <c r="I336" s="5" t="s">
        <v>420</v>
      </c>
    </row>
    <row r="337" spans="1:9" s="4" customFormat="1" ht="51" customHeight="1" outlineLevel="1" x14ac:dyDescent="0.2">
      <c r="A337" s="5" t="s">
        <v>340</v>
      </c>
      <c r="B337" s="5" t="s">
        <v>354</v>
      </c>
      <c r="C337" s="5" t="s">
        <v>419</v>
      </c>
      <c r="D337" s="5" t="s">
        <v>12</v>
      </c>
      <c r="E337" s="5" t="s">
        <v>13</v>
      </c>
      <c r="F337" s="5" t="s">
        <v>16</v>
      </c>
      <c r="G337" s="6">
        <v>31500</v>
      </c>
      <c r="H337" s="332" t="str">
        <f>HYPERLINK("https://adv-map.ru/place/?LINK=df51b7ee3a31964eeb329a057513abe7","Ссылка")</f>
        <v>Ссылка</v>
      </c>
      <c r="I337" s="5" t="s">
        <v>420</v>
      </c>
    </row>
    <row r="338" spans="1:9" s="4" customFormat="1" ht="38.1" customHeight="1" outlineLevel="1" x14ac:dyDescent="0.2">
      <c r="A338" s="5" t="s">
        <v>340</v>
      </c>
      <c r="B338" s="5" t="s">
        <v>354</v>
      </c>
      <c r="C338" s="5" t="s">
        <v>421</v>
      </c>
      <c r="D338" s="5" t="s">
        <v>347</v>
      </c>
      <c r="E338" s="5" t="s">
        <v>348</v>
      </c>
      <c r="F338" s="5" t="s">
        <v>14</v>
      </c>
      <c r="G338" s="6">
        <v>27720</v>
      </c>
      <c r="H338" s="333" t="str">
        <f>HYPERLINK("https://adv-map.ru/place/?LINK=d4eab8271a72fc13decbbb48f4c0c5af","Ссылка")</f>
        <v>Ссылка</v>
      </c>
      <c r="I338" s="5" t="s">
        <v>422</v>
      </c>
    </row>
    <row r="339" spans="1:9" s="4" customFormat="1" ht="38.1" customHeight="1" outlineLevel="1" x14ac:dyDescent="0.2">
      <c r="A339" s="5" t="s">
        <v>340</v>
      </c>
      <c r="B339" s="5" t="s">
        <v>354</v>
      </c>
      <c r="C339" s="5" t="s">
        <v>421</v>
      </c>
      <c r="D339" s="5" t="s">
        <v>347</v>
      </c>
      <c r="E339" s="5" t="s">
        <v>348</v>
      </c>
      <c r="F339" s="5" t="s">
        <v>16</v>
      </c>
      <c r="G339" s="6">
        <v>22680</v>
      </c>
      <c r="H339" s="334" t="str">
        <f>HYPERLINK("https://adv-map.ru/place/?LINK=787d7d603cb1c29dd3e7e5a98222bb03","Ссылка")</f>
        <v>Ссылка</v>
      </c>
      <c r="I339" s="5" t="s">
        <v>422</v>
      </c>
    </row>
    <row r="340" spans="1:9" s="4" customFormat="1" ht="38.1" customHeight="1" outlineLevel="1" x14ac:dyDescent="0.2">
      <c r="A340" s="5" t="s">
        <v>340</v>
      </c>
      <c r="B340" s="5" t="s">
        <v>354</v>
      </c>
      <c r="C340" s="5" t="s">
        <v>423</v>
      </c>
      <c r="D340" s="5" t="s">
        <v>347</v>
      </c>
      <c r="E340" s="5" t="s">
        <v>348</v>
      </c>
      <c r="F340" s="5" t="s">
        <v>14</v>
      </c>
      <c r="G340" s="6">
        <v>27720</v>
      </c>
      <c r="H340" s="335" t="str">
        <f>HYPERLINK("https://adv-map.ru/place/?LINK=f1b474ee997aed21bf25ce34f7425364","Ссылка")</f>
        <v>Ссылка</v>
      </c>
      <c r="I340" s="5" t="s">
        <v>424</v>
      </c>
    </row>
    <row r="341" spans="1:9" s="4" customFormat="1" ht="38.1" customHeight="1" outlineLevel="1" x14ac:dyDescent="0.2">
      <c r="A341" s="5" t="s">
        <v>340</v>
      </c>
      <c r="B341" s="5" t="s">
        <v>354</v>
      </c>
      <c r="C341" s="5" t="s">
        <v>423</v>
      </c>
      <c r="D341" s="5" t="s">
        <v>347</v>
      </c>
      <c r="E341" s="5" t="s">
        <v>348</v>
      </c>
      <c r="F341" s="5" t="s">
        <v>16</v>
      </c>
      <c r="G341" s="6">
        <v>22680</v>
      </c>
      <c r="H341" s="336" t="str">
        <f>HYPERLINK("https://adv-map.ru/place/?LINK=c3457c3a4823d87b93cebfe1d9f97173","Ссылка")</f>
        <v>Ссылка</v>
      </c>
      <c r="I341" s="5" t="s">
        <v>425</v>
      </c>
    </row>
    <row r="342" spans="1:9" s="4" customFormat="1" ht="38.1" customHeight="1" outlineLevel="1" x14ac:dyDescent="0.2">
      <c r="A342" s="5" t="s">
        <v>340</v>
      </c>
      <c r="B342" s="5" t="s">
        <v>354</v>
      </c>
      <c r="C342" s="5" t="s">
        <v>426</v>
      </c>
      <c r="D342" s="5" t="s">
        <v>347</v>
      </c>
      <c r="E342" s="5" t="s">
        <v>348</v>
      </c>
      <c r="F342" s="5" t="s">
        <v>14</v>
      </c>
      <c r="G342" s="6">
        <v>27720</v>
      </c>
      <c r="H342" s="337" t="str">
        <f>HYPERLINK("https://adv-map.ru/place/?LINK=0986fb0fdb37ce8599650dd7069ca27f","Ссылка")</f>
        <v>Ссылка</v>
      </c>
      <c r="I342" s="5" t="s">
        <v>427</v>
      </c>
    </row>
    <row r="343" spans="1:9" s="4" customFormat="1" ht="38.1" customHeight="1" outlineLevel="1" x14ac:dyDescent="0.2">
      <c r="A343" s="5" t="s">
        <v>340</v>
      </c>
      <c r="B343" s="5" t="s">
        <v>354</v>
      </c>
      <c r="C343" s="5" t="s">
        <v>426</v>
      </c>
      <c r="D343" s="5" t="s">
        <v>347</v>
      </c>
      <c r="E343" s="5" t="s">
        <v>348</v>
      </c>
      <c r="F343" s="5" t="s">
        <v>16</v>
      </c>
      <c r="G343" s="6">
        <v>22680</v>
      </c>
      <c r="H343" s="338" t="str">
        <f>HYPERLINK("https://adv-map.ru/place/?LINK=23bd4c992f4c22e41c47345af17f7c50","Ссылка")</f>
        <v>Ссылка</v>
      </c>
      <c r="I343" s="5" t="s">
        <v>427</v>
      </c>
    </row>
    <row r="344" spans="1:9" s="4" customFormat="1" ht="38.1" customHeight="1" outlineLevel="1" x14ac:dyDescent="0.2">
      <c r="A344" s="5" t="s">
        <v>340</v>
      </c>
      <c r="B344" s="5" t="s">
        <v>354</v>
      </c>
      <c r="C344" s="5" t="s">
        <v>428</v>
      </c>
      <c r="D344" s="5" t="s">
        <v>347</v>
      </c>
      <c r="E344" s="5" t="s">
        <v>348</v>
      </c>
      <c r="F344" s="5" t="s">
        <v>14</v>
      </c>
      <c r="G344" s="6">
        <v>27720</v>
      </c>
      <c r="H344" s="339" t="str">
        <f>HYPERLINK("https://adv-map.ru/place/?LINK=85ba83ebc42cebd55f174ed460a205c6","Ссылка")</f>
        <v>Ссылка</v>
      </c>
      <c r="I344" s="5" t="s">
        <v>429</v>
      </c>
    </row>
    <row r="345" spans="1:9" s="4" customFormat="1" ht="38.1" customHeight="1" outlineLevel="1" x14ac:dyDescent="0.2">
      <c r="A345" s="5" t="s">
        <v>340</v>
      </c>
      <c r="B345" s="5" t="s">
        <v>354</v>
      </c>
      <c r="C345" s="5" t="s">
        <v>428</v>
      </c>
      <c r="D345" s="5" t="s">
        <v>347</v>
      </c>
      <c r="E345" s="5" t="s">
        <v>348</v>
      </c>
      <c r="F345" s="5" t="s">
        <v>16</v>
      </c>
      <c r="G345" s="6">
        <v>22680</v>
      </c>
      <c r="H345" s="340" t="str">
        <f>HYPERLINK("https://adv-map.ru/place/?LINK=3f749f1fe16f1001cfc3338363b29322","Ссылка")</f>
        <v>Ссылка</v>
      </c>
      <c r="I345" s="5" t="s">
        <v>429</v>
      </c>
    </row>
    <row r="346" spans="1:9" s="4" customFormat="1" ht="38.1" customHeight="1" outlineLevel="1" x14ac:dyDescent="0.2">
      <c r="A346" s="5" t="s">
        <v>340</v>
      </c>
      <c r="B346" s="5" t="s">
        <v>354</v>
      </c>
      <c r="C346" s="5" t="s">
        <v>430</v>
      </c>
      <c r="D346" s="5" t="s">
        <v>347</v>
      </c>
      <c r="E346" s="5" t="s">
        <v>348</v>
      </c>
      <c r="F346" s="5" t="s">
        <v>14</v>
      </c>
      <c r="G346" s="6">
        <v>27720</v>
      </c>
      <c r="H346" s="341" t="str">
        <f>HYPERLINK("https://adv-map.ru/place/?LINK=489b5440700eb4cdff604745c35cbf35","Ссылка")</f>
        <v>Ссылка</v>
      </c>
      <c r="I346" s="5" t="s">
        <v>431</v>
      </c>
    </row>
    <row r="347" spans="1:9" s="4" customFormat="1" ht="38.1" customHeight="1" outlineLevel="1" x14ac:dyDescent="0.2">
      <c r="A347" s="5" t="s">
        <v>340</v>
      </c>
      <c r="B347" s="5" t="s">
        <v>354</v>
      </c>
      <c r="C347" s="5" t="s">
        <v>430</v>
      </c>
      <c r="D347" s="5" t="s">
        <v>347</v>
      </c>
      <c r="E347" s="5" t="s">
        <v>348</v>
      </c>
      <c r="F347" s="5" t="s">
        <v>16</v>
      </c>
      <c r="G347" s="6">
        <v>22680</v>
      </c>
      <c r="H347" s="342" t="str">
        <f>HYPERLINK("https://adv-map.ru/place/?LINK=e8f7d2139647c4df8f735e66233b7ad1","Ссылка")</f>
        <v>Ссылка</v>
      </c>
      <c r="I347" s="5" t="s">
        <v>432</v>
      </c>
    </row>
    <row r="348" spans="1:9" s="4" customFormat="1" ht="51" customHeight="1" outlineLevel="1" x14ac:dyDescent="0.2">
      <c r="A348" s="5" t="s">
        <v>340</v>
      </c>
      <c r="B348" s="5" t="s">
        <v>354</v>
      </c>
      <c r="C348" s="5" t="s">
        <v>433</v>
      </c>
      <c r="D348" s="5" t="s">
        <v>347</v>
      </c>
      <c r="E348" s="5" t="s">
        <v>348</v>
      </c>
      <c r="F348" s="5" t="s">
        <v>14</v>
      </c>
      <c r="G348" s="6">
        <v>27720</v>
      </c>
      <c r="H348" s="343" t="str">
        <f>HYPERLINK("https://adv-map.ru/place/?LINK=b937a8830b60920d55a34a8261ebad9b","Ссылка")</f>
        <v>Ссылка</v>
      </c>
      <c r="I348" s="5" t="s">
        <v>434</v>
      </c>
    </row>
    <row r="349" spans="1:9" s="4" customFormat="1" ht="38.1" customHeight="1" outlineLevel="1" x14ac:dyDescent="0.2">
      <c r="A349" s="5" t="s">
        <v>340</v>
      </c>
      <c r="B349" s="5" t="s">
        <v>354</v>
      </c>
      <c r="C349" s="5" t="s">
        <v>433</v>
      </c>
      <c r="D349" s="5" t="s">
        <v>347</v>
      </c>
      <c r="E349" s="5" t="s">
        <v>348</v>
      </c>
      <c r="F349" s="5" t="s">
        <v>16</v>
      </c>
      <c r="G349" s="6">
        <v>22680</v>
      </c>
      <c r="H349" s="344" t="str">
        <f>HYPERLINK("https://adv-map.ru/place/?LINK=c931bd07e059c1e4f87d8ce30a487b05","Ссылка")</f>
        <v>Ссылка</v>
      </c>
      <c r="I349" s="5" t="s">
        <v>434</v>
      </c>
    </row>
    <row r="350" spans="1:9" s="4" customFormat="1" ht="38.1" customHeight="1" outlineLevel="1" x14ac:dyDescent="0.2">
      <c r="A350" s="5" t="s">
        <v>340</v>
      </c>
      <c r="B350" s="5" t="s">
        <v>354</v>
      </c>
      <c r="C350" s="5" t="s">
        <v>435</v>
      </c>
      <c r="D350" s="5" t="s">
        <v>351</v>
      </c>
      <c r="E350" s="5" t="s">
        <v>352</v>
      </c>
      <c r="F350" s="5" t="s">
        <v>14</v>
      </c>
      <c r="G350" s="6">
        <v>189000</v>
      </c>
      <c r="H350" s="345" t="str">
        <f>HYPERLINK("https://adv-map.ru/place/?LINK=0a83bde5728328e2b0deba99c6ffd118","Ссылка")</f>
        <v>Ссылка</v>
      </c>
      <c r="I350" s="5" t="s">
        <v>436</v>
      </c>
    </row>
    <row r="351" spans="1:9" s="4" customFormat="1" ht="38.1" customHeight="1" outlineLevel="1" x14ac:dyDescent="0.2">
      <c r="A351" s="5" t="s">
        <v>340</v>
      </c>
      <c r="B351" s="5" t="s">
        <v>354</v>
      </c>
      <c r="C351" s="5" t="s">
        <v>435</v>
      </c>
      <c r="D351" s="5" t="s">
        <v>351</v>
      </c>
      <c r="E351" s="5" t="s">
        <v>352</v>
      </c>
      <c r="F351" s="5" t="s">
        <v>16</v>
      </c>
      <c r="G351" s="6">
        <v>147000</v>
      </c>
      <c r="H351" s="346" t="str">
        <f>HYPERLINK("https://adv-map.ru/place/?LINK=ae6d2e61ee59534b9fceedbf6e469541","Ссылка")</f>
        <v>Ссылка</v>
      </c>
      <c r="I351" s="5" t="s">
        <v>436</v>
      </c>
    </row>
    <row r="352" spans="1:9" s="4" customFormat="1" ht="38.1" customHeight="1" outlineLevel="1" x14ac:dyDescent="0.2">
      <c r="A352" s="5" t="s">
        <v>340</v>
      </c>
      <c r="B352" s="5" t="s">
        <v>354</v>
      </c>
      <c r="C352" s="5" t="s">
        <v>437</v>
      </c>
      <c r="D352" s="5" t="s">
        <v>12</v>
      </c>
      <c r="E352" s="5" t="s">
        <v>13</v>
      </c>
      <c r="F352" s="5" t="s">
        <v>14</v>
      </c>
      <c r="G352" s="6">
        <v>50400</v>
      </c>
      <c r="H352" s="347" t="str">
        <f>HYPERLINK("https://adv-map.ru/place/?LINK=b595c93c3847071ac160e4f59b23be7b","Ссылка")</f>
        <v>Ссылка</v>
      </c>
      <c r="I352" s="5" t="s">
        <v>438</v>
      </c>
    </row>
    <row r="353" spans="1:9" s="4" customFormat="1" ht="38.1" customHeight="1" outlineLevel="1" x14ac:dyDescent="0.2">
      <c r="A353" s="5" t="s">
        <v>340</v>
      </c>
      <c r="B353" s="5" t="s">
        <v>354</v>
      </c>
      <c r="C353" s="5" t="s">
        <v>437</v>
      </c>
      <c r="D353" s="5" t="s">
        <v>12</v>
      </c>
      <c r="E353" s="5" t="s">
        <v>13</v>
      </c>
      <c r="F353" s="5" t="s">
        <v>16</v>
      </c>
      <c r="G353" s="6">
        <v>37800</v>
      </c>
      <c r="H353" s="348" t="str">
        <f>HYPERLINK("https://adv-map.ru/place/?LINK=cb4d6ebdbeef5c6a02242dcf21e8df01","Ссылка")</f>
        <v>Ссылка</v>
      </c>
      <c r="I353" s="5" t="s">
        <v>438</v>
      </c>
    </row>
    <row r="354" spans="1:9" s="4" customFormat="1" ht="38.1" customHeight="1" outlineLevel="1" x14ac:dyDescent="0.2">
      <c r="A354" s="5" t="s">
        <v>340</v>
      </c>
      <c r="B354" s="5" t="s">
        <v>354</v>
      </c>
      <c r="C354" s="5" t="s">
        <v>439</v>
      </c>
      <c r="D354" s="5" t="s">
        <v>49</v>
      </c>
      <c r="E354" s="5" t="s">
        <v>13</v>
      </c>
      <c r="F354" s="5" t="s">
        <v>28</v>
      </c>
      <c r="G354" s="6">
        <v>50400</v>
      </c>
      <c r="H354" s="349" t="str">
        <f>HYPERLINK("https://adv-map.ru/place/?LINK=71731f4b14eb4e39e70dae0dbc7343ae","Ссылка")</f>
        <v>Ссылка</v>
      </c>
      <c r="I354" s="5" t="s">
        <v>440</v>
      </c>
    </row>
    <row r="355" spans="1:9" s="4" customFormat="1" ht="38.1" customHeight="1" outlineLevel="1" x14ac:dyDescent="0.2">
      <c r="A355" s="5" t="s">
        <v>340</v>
      </c>
      <c r="B355" s="5" t="s">
        <v>354</v>
      </c>
      <c r="C355" s="5" t="s">
        <v>439</v>
      </c>
      <c r="D355" s="5" t="s">
        <v>49</v>
      </c>
      <c r="E355" s="5" t="s">
        <v>13</v>
      </c>
      <c r="F355" s="5" t="s">
        <v>30</v>
      </c>
      <c r="G355" s="6">
        <v>50400</v>
      </c>
      <c r="H355" s="350" t="str">
        <f>HYPERLINK("https://adv-map.ru/place/?LINK=2c7649b9e4aeb624522a27977c3fde56","Ссылка")</f>
        <v>Ссылка</v>
      </c>
      <c r="I355" s="5" t="s">
        <v>440</v>
      </c>
    </row>
    <row r="356" spans="1:9" s="4" customFormat="1" ht="38.1" customHeight="1" outlineLevel="1" x14ac:dyDescent="0.2">
      <c r="A356" s="5" t="s">
        <v>340</v>
      </c>
      <c r="B356" s="5" t="s">
        <v>354</v>
      </c>
      <c r="C356" s="5" t="s">
        <v>439</v>
      </c>
      <c r="D356" s="5" t="s">
        <v>49</v>
      </c>
      <c r="E356" s="5" t="s">
        <v>13</v>
      </c>
      <c r="F356" s="5" t="s">
        <v>31</v>
      </c>
      <c r="G356" s="6">
        <v>50400</v>
      </c>
      <c r="H356" s="351" t="str">
        <f>HYPERLINK("https://adv-map.ru/place/?LINK=89da51a749dd3149356dd75b8179b0c0","Ссылка")</f>
        <v>Ссылка</v>
      </c>
      <c r="I356" s="5" t="s">
        <v>440</v>
      </c>
    </row>
    <row r="357" spans="1:9" s="4" customFormat="1" ht="51" customHeight="1" outlineLevel="1" x14ac:dyDescent="0.2">
      <c r="A357" s="5" t="s">
        <v>340</v>
      </c>
      <c r="B357" s="5" t="s">
        <v>354</v>
      </c>
      <c r="C357" s="5" t="s">
        <v>439</v>
      </c>
      <c r="D357" s="5" t="s">
        <v>12</v>
      </c>
      <c r="E357" s="5" t="s">
        <v>13</v>
      </c>
      <c r="F357" s="5" t="s">
        <v>16</v>
      </c>
      <c r="G357" s="6">
        <v>35280</v>
      </c>
      <c r="H357" s="352" t="str">
        <f>HYPERLINK("https://adv-map.ru/place/?LINK=b29b163987df3838532a7be5821d5e9d","Ссылка")</f>
        <v>Ссылка</v>
      </c>
      <c r="I357" s="5" t="s">
        <v>440</v>
      </c>
    </row>
    <row r="358" spans="1:9" s="4" customFormat="1" ht="38.1" customHeight="1" outlineLevel="1" x14ac:dyDescent="0.2">
      <c r="A358" s="5" t="s">
        <v>340</v>
      </c>
      <c r="B358" s="5" t="s">
        <v>354</v>
      </c>
      <c r="C358" s="5" t="s">
        <v>441</v>
      </c>
      <c r="D358" s="5" t="s">
        <v>12</v>
      </c>
      <c r="E358" s="5" t="s">
        <v>13</v>
      </c>
      <c r="F358" s="5" t="s">
        <v>14</v>
      </c>
      <c r="G358" s="6">
        <v>50400</v>
      </c>
      <c r="H358" s="353" t="str">
        <f>HYPERLINK("https://adv-map.ru/place/?LINK=62b0a39b9dfbd7f1ea714d165dcd360f","Ссылка")</f>
        <v>Ссылка</v>
      </c>
      <c r="I358" s="5" t="s">
        <v>442</v>
      </c>
    </row>
    <row r="359" spans="1:9" s="4" customFormat="1" ht="38.1" customHeight="1" outlineLevel="1" x14ac:dyDescent="0.2">
      <c r="A359" s="5" t="s">
        <v>340</v>
      </c>
      <c r="B359" s="5" t="s">
        <v>354</v>
      </c>
      <c r="C359" s="5" t="s">
        <v>441</v>
      </c>
      <c r="D359" s="5" t="s">
        <v>12</v>
      </c>
      <c r="E359" s="5" t="s">
        <v>13</v>
      </c>
      <c r="F359" s="5" t="s">
        <v>16</v>
      </c>
      <c r="G359" s="6">
        <v>31500</v>
      </c>
      <c r="H359" s="354" t="str">
        <f>HYPERLINK("https://adv-map.ru/place/?LINK=bcc322f3a54c198fe0fdba7bd0839358","Ссылка")</f>
        <v>Ссылка</v>
      </c>
      <c r="I359" s="5" t="s">
        <v>442</v>
      </c>
    </row>
    <row r="360" spans="1:9" s="4" customFormat="1" ht="38.1" customHeight="1" outlineLevel="1" x14ac:dyDescent="0.2">
      <c r="A360" s="5" t="s">
        <v>340</v>
      </c>
      <c r="B360" s="5" t="s">
        <v>354</v>
      </c>
      <c r="C360" s="5" t="s">
        <v>443</v>
      </c>
      <c r="D360" s="5" t="s">
        <v>49</v>
      </c>
      <c r="E360" s="5" t="s">
        <v>13</v>
      </c>
      <c r="F360" s="5" t="s">
        <v>28</v>
      </c>
      <c r="G360" s="6">
        <v>48300</v>
      </c>
      <c r="H360" s="355" t="str">
        <f>HYPERLINK("https://adv-map.ru/place/?LINK=db55d41dd2f15cb605db75211d810ee4","Ссылка")</f>
        <v>Ссылка</v>
      </c>
      <c r="I360" s="5" t="s">
        <v>444</v>
      </c>
    </row>
    <row r="361" spans="1:9" s="4" customFormat="1" ht="38.1" customHeight="1" outlineLevel="1" x14ac:dyDescent="0.2">
      <c r="A361" s="5" t="s">
        <v>340</v>
      </c>
      <c r="B361" s="5" t="s">
        <v>354</v>
      </c>
      <c r="C361" s="5" t="s">
        <v>443</v>
      </c>
      <c r="D361" s="5" t="s">
        <v>49</v>
      </c>
      <c r="E361" s="5" t="s">
        <v>13</v>
      </c>
      <c r="F361" s="5" t="s">
        <v>30</v>
      </c>
      <c r="G361" s="6">
        <v>48300</v>
      </c>
      <c r="H361" s="356" t="str">
        <f>HYPERLINK("https://adv-map.ru/place/?LINK=2b7b3064ebfcdc2fb6a18e3bcf625991","Ссылка")</f>
        <v>Ссылка</v>
      </c>
      <c r="I361" s="5" t="s">
        <v>444</v>
      </c>
    </row>
    <row r="362" spans="1:9" s="4" customFormat="1" ht="38.1" customHeight="1" outlineLevel="1" x14ac:dyDescent="0.2">
      <c r="A362" s="5" t="s">
        <v>340</v>
      </c>
      <c r="B362" s="5" t="s">
        <v>354</v>
      </c>
      <c r="C362" s="5" t="s">
        <v>443</v>
      </c>
      <c r="D362" s="5" t="s">
        <v>49</v>
      </c>
      <c r="E362" s="5" t="s">
        <v>13</v>
      </c>
      <c r="F362" s="5" t="s">
        <v>31</v>
      </c>
      <c r="G362" s="6">
        <v>48300</v>
      </c>
      <c r="H362" s="357" t="str">
        <f>HYPERLINK("https://adv-map.ru/place/?LINK=016040b397f4502951dca8570e70b70b","Ссылка")</f>
        <v>Ссылка</v>
      </c>
      <c r="I362" s="5" t="s">
        <v>444</v>
      </c>
    </row>
    <row r="363" spans="1:9" s="4" customFormat="1" ht="38.1" customHeight="1" outlineLevel="1" x14ac:dyDescent="0.2">
      <c r="A363" s="5" t="s">
        <v>340</v>
      </c>
      <c r="B363" s="5" t="s">
        <v>354</v>
      </c>
      <c r="C363" s="5" t="s">
        <v>443</v>
      </c>
      <c r="D363" s="5" t="s">
        <v>12</v>
      </c>
      <c r="E363" s="5" t="s">
        <v>13</v>
      </c>
      <c r="F363" s="5" t="s">
        <v>16</v>
      </c>
      <c r="G363" s="6">
        <v>31500</v>
      </c>
      <c r="H363" s="358" t="str">
        <f>HYPERLINK("https://adv-map.ru/place/?LINK=1bb2b7ef1e23ed7105ce60e7893cd70d","Ссылка")</f>
        <v>Ссылка</v>
      </c>
      <c r="I363" s="5" t="s">
        <v>445</v>
      </c>
    </row>
    <row r="364" spans="1:9" s="4" customFormat="1" ht="38.1" customHeight="1" outlineLevel="1" x14ac:dyDescent="0.2">
      <c r="A364" s="5" t="s">
        <v>340</v>
      </c>
      <c r="B364" s="5" t="s">
        <v>354</v>
      </c>
      <c r="C364" s="5" t="s">
        <v>446</v>
      </c>
      <c r="D364" s="5" t="s">
        <v>12</v>
      </c>
      <c r="E364" s="5" t="s">
        <v>13</v>
      </c>
      <c r="F364" s="5" t="s">
        <v>14</v>
      </c>
      <c r="G364" s="6">
        <v>50400</v>
      </c>
      <c r="H364" s="359" t="str">
        <f>HYPERLINK("https://adv-map.ru/place/?LINK=003fc31d9c39bd246982ceb381adac28","Ссылка")</f>
        <v>Ссылка</v>
      </c>
      <c r="I364" s="5" t="s">
        <v>447</v>
      </c>
    </row>
    <row r="365" spans="1:9" s="4" customFormat="1" ht="38.1" customHeight="1" outlineLevel="1" x14ac:dyDescent="0.2">
      <c r="A365" s="5" t="s">
        <v>340</v>
      </c>
      <c r="B365" s="5" t="s">
        <v>354</v>
      </c>
      <c r="C365" s="5" t="s">
        <v>446</v>
      </c>
      <c r="D365" s="5" t="s">
        <v>12</v>
      </c>
      <c r="E365" s="5" t="s">
        <v>13</v>
      </c>
      <c r="F365" s="5" t="s">
        <v>16</v>
      </c>
      <c r="G365" s="6">
        <v>31500</v>
      </c>
      <c r="H365" s="360" t="str">
        <f>HYPERLINK("https://adv-map.ru/place/?LINK=f71c94dcee16ac2d7031b1a695a27812","Ссылка")</f>
        <v>Ссылка</v>
      </c>
      <c r="I365" s="5" t="s">
        <v>447</v>
      </c>
    </row>
    <row r="366" spans="1:9" s="4" customFormat="1" ht="38.1" customHeight="1" outlineLevel="1" x14ac:dyDescent="0.2">
      <c r="A366" s="5" t="s">
        <v>340</v>
      </c>
      <c r="B366" s="5" t="s">
        <v>354</v>
      </c>
      <c r="C366" s="5" t="s">
        <v>448</v>
      </c>
      <c r="D366" s="5" t="s">
        <v>49</v>
      </c>
      <c r="E366" s="5" t="s">
        <v>13</v>
      </c>
      <c r="F366" s="5" t="s">
        <v>28</v>
      </c>
      <c r="G366" s="6">
        <v>48300</v>
      </c>
      <c r="H366" s="361" t="str">
        <f>HYPERLINK("https://adv-map.ru/place/?LINK=3dcaf12e5317caf3e15b56a34b8fe74f","Ссылка")</f>
        <v>Ссылка</v>
      </c>
      <c r="I366" s="5" t="s">
        <v>449</v>
      </c>
    </row>
    <row r="367" spans="1:9" s="4" customFormat="1" ht="51" customHeight="1" outlineLevel="1" x14ac:dyDescent="0.2">
      <c r="A367" s="5" t="s">
        <v>340</v>
      </c>
      <c r="B367" s="5" t="s">
        <v>354</v>
      </c>
      <c r="C367" s="5" t="s">
        <v>448</v>
      </c>
      <c r="D367" s="5" t="s">
        <v>49</v>
      </c>
      <c r="E367" s="5" t="s">
        <v>13</v>
      </c>
      <c r="F367" s="5" t="s">
        <v>30</v>
      </c>
      <c r="G367" s="6">
        <v>48300</v>
      </c>
      <c r="H367" s="362" t="str">
        <f>HYPERLINK("https://adv-map.ru/place/?LINK=64162a86197b6d30e9372b6480343243","Ссылка")</f>
        <v>Ссылка</v>
      </c>
      <c r="I367" s="5" t="s">
        <v>449</v>
      </c>
    </row>
    <row r="368" spans="1:9" s="4" customFormat="1" ht="38.1" customHeight="1" outlineLevel="1" x14ac:dyDescent="0.2">
      <c r="A368" s="5" t="s">
        <v>340</v>
      </c>
      <c r="B368" s="5" t="s">
        <v>354</v>
      </c>
      <c r="C368" s="5" t="s">
        <v>448</v>
      </c>
      <c r="D368" s="5" t="s">
        <v>49</v>
      </c>
      <c r="E368" s="5" t="s">
        <v>13</v>
      </c>
      <c r="F368" s="5" t="s">
        <v>31</v>
      </c>
      <c r="G368" s="6">
        <v>48300</v>
      </c>
      <c r="H368" s="363" t="str">
        <f>HYPERLINK("https://adv-map.ru/place/?LINK=93162c6ecb0a05e7660827c4cfba4717","Ссылка")</f>
        <v>Ссылка</v>
      </c>
      <c r="I368" s="5" t="s">
        <v>449</v>
      </c>
    </row>
    <row r="369" spans="1:9" s="4" customFormat="1" ht="38.1" customHeight="1" outlineLevel="1" x14ac:dyDescent="0.2">
      <c r="A369" s="5" t="s">
        <v>340</v>
      </c>
      <c r="B369" s="5" t="s">
        <v>354</v>
      </c>
      <c r="C369" s="5" t="s">
        <v>448</v>
      </c>
      <c r="D369" s="5" t="s">
        <v>12</v>
      </c>
      <c r="E369" s="5" t="s">
        <v>13</v>
      </c>
      <c r="F369" s="5" t="s">
        <v>16</v>
      </c>
      <c r="G369" s="6">
        <v>31500</v>
      </c>
      <c r="H369" s="364" t="str">
        <f>HYPERLINK("https://adv-map.ru/place/?LINK=62fe1baccba37a0f0c43132abddf0bb0","Ссылка")</f>
        <v>Ссылка</v>
      </c>
      <c r="I369" s="5" t="s">
        <v>449</v>
      </c>
    </row>
    <row r="370" spans="1:9" s="4" customFormat="1" ht="38.1" customHeight="1" outlineLevel="1" x14ac:dyDescent="0.2">
      <c r="A370" s="5" t="s">
        <v>340</v>
      </c>
      <c r="B370" s="5" t="s">
        <v>354</v>
      </c>
      <c r="C370" s="5" t="s">
        <v>450</v>
      </c>
      <c r="D370" s="5" t="s">
        <v>12</v>
      </c>
      <c r="E370" s="5" t="s">
        <v>13</v>
      </c>
      <c r="F370" s="5" t="s">
        <v>14</v>
      </c>
      <c r="G370" s="6">
        <v>50400</v>
      </c>
      <c r="H370" s="365" t="str">
        <f>HYPERLINK("https://adv-map.ru/place/?LINK=985638987923d01b6a2b2b2a4c803376","Ссылка")</f>
        <v>Ссылка</v>
      </c>
      <c r="I370" s="5" t="s">
        <v>451</v>
      </c>
    </row>
    <row r="371" spans="1:9" s="4" customFormat="1" ht="38.1" customHeight="1" outlineLevel="1" x14ac:dyDescent="0.2">
      <c r="A371" s="5" t="s">
        <v>340</v>
      </c>
      <c r="B371" s="5" t="s">
        <v>354</v>
      </c>
      <c r="C371" s="5" t="s">
        <v>450</v>
      </c>
      <c r="D371" s="5" t="s">
        <v>12</v>
      </c>
      <c r="E371" s="5" t="s">
        <v>13</v>
      </c>
      <c r="F371" s="5" t="s">
        <v>16</v>
      </c>
      <c r="G371" s="6">
        <v>31500</v>
      </c>
      <c r="H371" s="366" t="str">
        <f>HYPERLINK("https://adv-map.ru/place/?LINK=79322fe5d1fb1a55a703bff03c375d66","Ссылка")</f>
        <v>Ссылка</v>
      </c>
      <c r="I371" s="5" t="s">
        <v>451</v>
      </c>
    </row>
    <row r="372" spans="1:9" s="4" customFormat="1" ht="38.1" customHeight="1" outlineLevel="1" x14ac:dyDescent="0.2">
      <c r="A372" s="5" t="s">
        <v>340</v>
      </c>
      <c r="B372" s="5" t="s">
        <v>354</v>
      </c>
      <c r="C372" s="5" t="s">
        <v>452</v>
      </c>
      <c r="D372" s="5" t="s">
        <v>405</v>
      </c>
      <c r="E372" s="5" t="s">
        <v>348</v>
      </c>
      <c r="F372" s="5" t="s">
        <v>14</v>
      </c>
      <c r="G372" s="6">
        <v>27720</v>
      </c>
      <c r="H372" s="367" t="str">
        <f>HYPERLINK("https://adv-map.ru/place/?LINK=d7d405a500266b77e2cca38aaef53b68","Ссылка")</f>
        <v>Ссылка</v>
      </c>
      <c r="I372" s="5" t="s">
        <v>453</v>
      </c>
    </row>
    <row r="373" spans="1:9" s="4" customFormat="1" ht="38.1" customHeight="1" outlineLevel="1" x14ac:dyDescent="0.2">
      <c r="A373" s="5" t="s">
        <v>340</v>
      </c>
      <c r="B373" s="5" t="s">
        <v>354</v>
      </c>
      <c r="C373" s="5" t="s">
        <v>452</v>
      </c>
      <c r="D373" s="5" t="s">
        <v>405</v>
      </c>
      <c r="E373" s="5" t="s">
        <v>348</v>
      </c>
      <c r="F373" s="5" t="s">
        <v>16</v>
      </c>
      <c r="G373" s="6">
        <v>22680</v>
      </c>
      <c r="H373" s="368" t="str">
        <f>HYPERLINK("https://adv-map.ru/place/?LINK=85077faa3abd5127a6f12be34ca13d0c","Ссылка")</f>
        <v>Ссылка</v>
      </c>
      <c r="I373" s="5" t="s">
        <v>453</v>
      </c>
    </row>
    <row r="374" spans="1:9" s="4" customFormat="1" ht="38.1" customHeight="1" outlineLevel="1" x14ac:dyDescent="0.2">
      <c r="A374" s="5" t="s">
        <v>340</v>
      </c>
      <c r="B374" s="5" t="s">
        <v>354</v>
      </c>
      <c r="C374" s="5" t="s">
        <v>454</v>
      </c>
      <c r="D374" s="5" t="s">
        <v>12</v>
      </c>
      <c r="E374" s="5" t="s">
        <v>13</v>
      </c>
      <c r="F374" s="5" t="s">
        <v>14</v>
      </c>
      <c r="G374" s="6">
        <v>50400</v>
      </c>
      <c r="H374" s="369" t="str">
        <f>HYPERLINK("https://adv-map.ru/place/?LINK=95e326b1e2bd2fb2de1424836c434fbd","Ссылка")</f>
        <v>Ссылка</v>
      </c>
      <c r="I374" s="5" t="s">
        <v>455</v>
      </c>
    </row>
    <row r="375" spans="1:9" s="4" customFormat="1" ht="38.1" customHeight="1" outlineLevel="1" x14ac:dyDescent="0.2">
      <c r="A375" s="5" t="s">
        <v>340</v>
      </c>
      <c r="B375" s="5" t="s">
        <v>354</v>
      </c>
      <c r="C375" s="5" t="s">
        <v>454</v>
      </c>
      <c r="D375" s="5" t="s">
        <v>12</v>
      </c>
      <c r="E375" s="5" t="s">
        <v>13</v>
      </c>
      <c r="F375" s="5" t="s">
        <v>16</v>
      </c>
      <c r="G375" s="6">
        <v>25200</v>
      </c>
      <c r="H375" s="370" t="str">
        <f>HYPERLINK("https://adv-map.ru/place/?LINK=99afb73b27031d1561938d112ac54e88","Ссылка")</f>
        <v>Ссылка</v>
      </c>
      <c r="I375" s="5" t="s">
        <v>455</v>
      </c>
    </row>
    <row r="376" spans="1:9" s="4" customFormat="1" ht="51" customHeight="1" outlineLevel="1" x14ac:dyDescent="0.2">
      <c r="A376" s="5" t="s">
        <v>340</v>
      </c>
      <c r="B376" s="5" t="s">
        <v>354</v>
      </c>
      <c r="C376" s="5" t="s">
        <v>456</v>
      </c>
      <c r="D376" s="5" t="s">
        <v>12</v>
      </c>
      <c r="E376" s="5" t="s">
        <v>13</v>
      </c>
      <c r="F376" s="5" t="s">
        <v>14</v>
      </c>
      <c r="G376" s="6">
        <v>50400</v>
      </c>
      <c r="H376" s="371" t="str">
        <f>HYPERLINK("https://adv-map.ru/place/?LINK=464d8102e2a52609eb2584b588ab4087","Ссылка")</f>
        <v>Ссылка</v>
      </c>
      <c r="I376" s="5" t="s">
        <v>457</v>
      </c>
    </row>
    <row r="377" spans="1:9" s="4" customFormat="1" ht="38.1" customHeight="1" outlineLevel="1" x14ac:dyDescent="0.2">
      <c r="A377" s="5" t="s">
        <v>340</v>
      </c>
      <c r="B377" s="5" t="s">
        <v>354</v>
      </c>
      <c r="C377" s="5" t="s">
        <v>456</v>
      </c>
      <c r="D377" s="5" t="s">
        <v>12</v>
      </c>
      <c r="E377" s="5" t="s">
        <v>13</v>
      </c>
      <c r="F377" s="5" t="s">
        <v>16</v>
      </c>
      <c r="G377" s="6">
        <v>31500</v>
      </c>
      <c r="H377" s="372" t="str">
        <f>HYPERLINK("https://adv-map.ru/place/?LINK=c477d1f7228deac73516b474fc3e9b99","Ссылка")</f>
        <v>Ссылка</v>
      </c>
      <c r="I377" s="5" t="s">
        <v>457</v>
      </c>
    </row>
    <row r="378" spans="1:9" s="4" customFormat="1" ht="38.1" customHeight="1" outlineLevel="1" x14ac:dyDescent="0.2">
      <c r="A378" s="5" t="s">
        <v>340</v>
      </c>
      <c r="B378" s="5" t="s">
        <v>354</v>
      </c>
      <c r="C378" s="5" t="s">
        <v>458</v>
      </c>
      <c r="D378" s="5" t="s">
        <v>49</v>
      </c>
      <c r="E378" s="5" t="s">
        <v>13</v>
      </c>
      <c r="F378" s="5" t="s">
        <v>28</v>
      </c>
      <c r="G378" s="6">
        <v>48300</v>
      </c>
      <c r="H378" s="373" t="str">
        <f>HYPERLINK("https://adv-map.ru/place/?LINK=913fc0e74aa18c1d682aaf910f19b361","Ссылка")</f>
        <v>Ссылка</v>
      </c>
      <c r="I378" s="5" t="s">
        <v>459</v>
      </c>
    </row>
    <row r="379" spans="1:9" s="4" customFormat="1" ht="51" customHeight="1" outlineLevel="1" x14ac:dyDescent="0.2">
      <c r="A379" s="5" t="s">
        <v>340</v>
      </c>
      <c r="B379" s="5" t="s">
        <v>354</v>
      </c>
      <c r="C379" s="5" t="s">
        <v>458</v>
      </c>
      <c r="D379" s="5" t="s">
        <v>49</v>
      </c>
      <c r="E379" s="5" t="s">
        <v>13</v>
      </c>
      <c r="F379" s="5" t="s">
        <v>30</v>
      </c>
      <c r="G379" s="6">
        <v>48300</v>
      </c>
      <c r="H379" s="374" t="str">
        <f>HYPERLINK("https://adv-map.ru/place/?LINK=067f6569369b4e5459455b4e61e12ab7","Ссылка")</f>
        <v>Ссылка</v>
      </c>
      <c r="I379" s="5" t="s">
        <v>459</v>
      </c>
    </row>
    <row r="380" spans="1:9" s="4" customFormat="1" ht="38.1" customHeight="1" outlineLevel="1" x14ac:dyDescent="0.2">
      <c r="A380" s="5" t="s">
        <v>340</v>
      </c>
      <c r="B380" s="5" t="s">
        <v>354</v>
      </c>
      <c r="C380" s="5" t="s">
        <v>458</v>
      </c>
      <c r="D380" s="5" t="s">
        <v>49</v>
      </c>
      <c r="E380" s="5" t="s">
        <v>13</v>
      </c>
      <c r="F380" s="5" t="s">
        <v>33</v>
      </c>
      <c r="G380" s="6">
        <v>31500</v>
      </c>
      <c r="H380" s="375" t="str">
        <f>HYPERLINK("https://adv-map.ru/place/?LINK=008f0101493b725494450adb6f35b35a","Ссылка")</f>
        <v>Ссылка</v>
      </c>
      <c r="I380" s="5" t="s">
        <v>459</v>
      </c>
    </row>
    <row r="381" spans="1:9" s="4" customFormat="1" ht="38.1" customHeight="1" outlineLevel="1" x14ac:dyDescent="0.2">
      <c r="A381" s="5" t="s">
        <v>340</v>
      </c>
      <c r="B381" s="5" t="s">
        <v>354</v>
      </c>
      <c r="C381" s="5" t="s">
        <v>460</v>
      </c>
      <c r="D381" s="5" t="s">
        <v>49</v>
      </c>
      <c r="E381" s="5" t="s">
        <v>13</v>
      </c>
      <c r="F381" s="5" t="s">
        <v>28</v>
      </c>
      <c r="G381" s="6">
        <v>50400</v>
      </c>
      <c r="H381" s="376" t="str">
        <f>HYPERLINK("https://adv-map.ru/place/?LINK=c626a26edfd524a505df05ce855e39a9","Ссылка")</f>
        <v>Ссылка</v>
      </c>
      <c r="I381" s="5" t="s">
        <v>461</v>
      </c>
    </row>
    <row r="382" spans="1:9" s="4" customFormat="1" ht="38.1" customHeight="1" outlineLevel="1" x14ac:dyDescent="0.2">
      <c r="A382" s="5" t="s">
        <v>340</v>
      </c>
      <c r="B382" s="5" t="s">
        <v>354</v>
      </c>
      <c r="C382" s="5" t="s">
        <v>460</v>
      </c>
      <c r="D382" s="5" t="s">
        <v>49</v>
      </c>
      <c r="E382" s="5" t="s">
        <v>13</v>
      </c>
      <c r="F382" s="5" t="s">
        <v>30</v>
      </c>
      <c r="G382" s="6">
        <v>50400</v>
      </c>
      <c r="H382" s="377" t="str">
        <f>HYPERLINK("https://adv-map.ru/place/?LINK=f7df35512b1fd0b78a389b1c7491d9bd","Ссылка")</f>
        <v>Ссылка</v>
      </c>
      <c r="I382" s="5" t="s">
        <v>461</v>
      </c>
    </row>
    <row r="383" spans="1:9" s="4" customFormat="1" ht="38.1" customHeight="1" outlineLevel="1" x14ac:dyDescent="0.2">
      <c r="A383" s="5" t="s">
        <v>340</v>
      </c>
      <c r="B383" s="5" t="s">
        <v>354</v>
      </c>
      <c r="C383" s="5" t="s">
        <v>460</v>
      </c>
      <c r="D383" s="5" t="s">
        <v>49</v>
      </c>
      <c r="E383" s="5" t="s">
        <v>13</v>
      </c>
      <c r="F383" s="5" t="s">
        <v>31</v>
      </c>
      <c r="G383" s="6">
        <v>50400</v>
      </c>
      <c r="H383" s="378" t="str">
        <f>HYPERLINK("https://adv-map.ru/place/?LINK=7fa4b83ce8cc0e9c8d7a072c5a36380d","Ссылка")</f>
        <v>Ссылка</v>
      </c>
      <c r="I383" s="5" t="s">
        <v>461</v>
      </c>
    </row>
    <row r="384" spans="1:9" s="4" customFormat="1" ht="38.1" customHeight="1" outlineLevel="1" x14ac:dyDescent="0.2">
      <c r="A384" s="5" t="s">
        <v>340</v>
      </c>
      <c r="B384" s="5" t="s">
        <v>354</v>
      </c>
      <c r="C384" s="5" t="s">
        <v>460</v>
      </c>
      <c r="D384" s="5" t="s">
        <v>12</v>
      </c>
      <c r="E384" s="5" t="s">
        <v>13</v>
      </c>
      <c r="F384" s="5" t="s">
        <v>16</v>
      </c>
      <c r="G384" s="6">
        <v>44100</v>
      </c>
      <c r="H384" s="379" t="str">
        <f>HYPERLINK("https://adv-map.ru/place/?LINK=01e3911f6ac994e143369a88a041dc60","Ссылка")</f>
        <v>Ссылка</v>
      </c>
      <c r="I384" s="5" t="s">
        <v>461</v>
      </c>
    </row>
    <row r="385" spans="1:9" s="4" customFormat="1" ht="38.1" customHeight="1" outlineLevel="1" x14ac:dyDescent="0.2">
      <c r="A385" s="5" t="s">
        <v>340</v>
      </c>
      <c r="B385" s="5" t="s">
        <v>354</v>
      </c>
      <c r="C385" s="5" t="s">
        <v>462</v>
      </c>
      <c r="D385" s="5" t="s">
        <v>43</v>
      </c>
      <c r="E385" s="5" t="s">
        <v>414</v>
      </c>
      <c r="F385" s="5" t="s">
        <v>16</v>
      </c>
      <c r="G385" s="6">
        <v>17640</v>
      </c>
      <c r="H385" s="380" t="str">
        <f>HYPERLINK("https://adv-map.ru/place/?LINK=d36a6113ecf55fc69c580849996e506c","Ссылка")</f>
        <v>Ссылка</v>
      </c>
      <c r="I385" s="5" t="s">
        <v>415</v>
      </c>
    </row>
    <row r="386" spans="1:9" s="4" customFormat="1" ht="38.1" customHeight="1" outlineLevel="1" x14ac:dyDescent="0.2">
      <c r="A386" s="5" t="s">
        <v>340</v>
      </c>
      <c r="B386" s="5" t="s">
        <v>354</v>
      </c>
      <c r="C386" s="5" t="s">
        <v>463</v>
      </c>
      <c r="D386" s="5" t="s">
        <v>464</v>
      </c>
      <c r="E386" s="5" t="s">
        <v>13</v>
      </c>
      <c r="F386" s="5" t="s">
        <v>28</v>
      </c>
      <c r="G386" s="6">
        <v>56700</v>
      </c>
      <c r="H386" s="381" t="str">
        <f>HYPERLINK("https://adv-map.ru/place/?LINK=b1ac5dbd7cb5dd77f928eacd77126262","Ссылка")</f>
        <v>Ссылка</v>
      </c>
      <c r="I386" s="5" t="s">
        <v>465</v>
      </c>
    </row>
    <row r="387" spans="1:9" s="4" customFormat="1" ht="38.1" customHeight="1" outlineLevel="1" x14ac:dyDescent="0.2">
      <c r="A387" s="5" t="s">
        <v>340</v>
      </c>
      <c r="B387" s="5" t="s">
        <v>354</v>
      </c>
      <c r="C387" s="5" t="s">
        <v>463</v>
      </c>
      <c r="D387" s="5" t="s">
        <v>464</v>
      </c>
      <c r="E387" s="5" t="s">
        <v>13</v>
      </c>
      <c r="F387" s="5" t="s">
        <v>466</v>
      </c>
      <c r="G387" s="6">
        <v>56700</v>
      </c>
      <c r="H387" s="382" t="str">
        <f>HYPERLINK("https://adv-map.ru/place/?LINK=a03dc1f832757271ed2a1b2622102d8b","Ссылка")</f>
        <v>Ссылка</v>
      </c>
      <c r="I387" s="5" t="s">
        <v>465</v>
      </c>
    </row>
    <row r="388" spans="1:9" s="4" customFormat="1" ht="38.1" customHeight="1" outlineLevel="1" x14ac:dyDescent="0.2">
      <c r="A388" s="5" t="s">
        <v>340</v>
      </c>
      <c r="B388" s="5" t="s">
        <v>354</v>
      </c>
      <c r="C388" s="5" t="s">
        <v>463</v>
      </c>
      <c r="D388" s="5" t="s">
        <v>464</v>
      </c>
      <c r="E388" s="5" t="s">
        <v>13</v>
      </c>
      <c r="F388" s="5" t="s">
        <v>467</v>
      </c>
      <c r="G388" s="6">
        <v>56700</v>
      </c>
      <c r="H388" s="383" t="str">
        <f>HYPERLINK("https://adv-map.ru/place/?LINK=1545fb8fc0a367d7cf7ee24c6aa121e4","Ссылка")</f>
        <v>Ссылка</v>
      </c>
      <c r="I388" s="5" t="s">
        <v>465</v>
      </c>
    </row>
    <row r="389" spans="1:9" s="4" customFormat="1" ht="38.1" customHeight="1" outlineLevel="1" x14ac:dyDescent="0.2">
      <c r="A389" s="5" t="s">
        <v>340</v>
      </c>
      <c r="B389" s="5" t="s">
        <v>354</v>
      </c>
      <c r="C389" s="5" t="s">
        <v>463</v>
      </c>
      <c r="D389" s="5" t="s">
        <v>464</v>
      </c>
      <c r="E389" s="5" t="s">
        <v>13</v>
      </c>
      <c r="F389" s="5" t="s">
        <v>468</v>
      </c>
      <c r="G389" s="6">
        <v>56700</v>
      </c>
      <c r="H389" s="384" t="str">
        <f>HYPERLINK("https://adv-map.ru/place/?LINK=4dc23c0ef5228a8fe86e8b5f8636f0ac","Ссылка")</f>
        <v>Ссылка</v>
      </c>
      <c r="I389" s="5" t="s">
        <v>465</v>
      </c>
    </row>
    <row r="390" spans="1:9" s="4" customFormat="1" ht="38.1" customHeight="1" outlineLevel="1" x14ac:dyDescent="0.2">
      <c r="A390" s="5" t="s">
        <v>340</v>
      </c>
      <c r="B390" s="5" t="s">
        <v>354</v>
      </c>
      <c r="C390" s="5" t="s">
        <v>463</v>
      </c>
      <c r="D390" s="5" t="s">
        <v>464</v>
      </c>
      <c r="E390" s="5" t="s">
        <v>13</v>
      </c>
      <c r="F390" s="5" t="s">
        <v>30</v>
      </c>
      <c r="G390" s="6">
        <v>56700</v>
      </c>
      <c r="H390" s="385" t="str">
        <f>HYPERLINK("https://adv-map.ru/place/?LINK=6b6581fe273213e630d4c077fca60a0a","Ссылка")</f>
        <v>Ссылка</v>
      </c>
      <c r="I390" s="5" t="s">
        <v>465</v>
      </c>
    </row>
    <row r="391" spans="1:9" s="4" customFormat="1" ht="38.1" customHeight="1" outlineLevel="1" x14ac:dyDescent="0.2">
      <c r="A391" s="5" t="s">
        <v>340</v>
      </c>
      <c r="B391" s="5" t="s">
        <v>354</v>
      </c>
      <c r="C391" s="5" t="s">
        <v>463</v>
      </c>
      <c r="D391" s="5" t="s">
        <v>464</v>
      </c>
      <c r="E391" s="5" t="s">
        <v>13</v>
      </c>
      <c r="F391" s="5" t="s">
        <v>31</v>
      </c>
      <c r="G391" s="6">
        <v>56700</v>
      </c>
      <c r="H391" s="386" t="str">
        <f>HYPERLINK("https://adv-map.ru/place/?LINK=f98a77ff7a2b2ef1f13072ca0b81e2cf","Ссылка")</f>
        <v>Ссылка</v>
      </c>
      <c r="I391" s="5" t="s">
        <v>465</v>
      </c>
    </row>
    <row r="392" spans="1:9" s="4" customFormat="1" ht="38.1" customHeight="1" outlineLevel="1" x14ac:dyDescent="0.2">
      <c r="A392" s="5" t="s">
        <v>340</v>
      </c>
      <c r="B392" s="5" t="s">
        <v>354</v>
      </c>
      <c r="C392" s="5" t="s">
        <v>463</v>
      </c>
      <c r="D392" s="5" t="s">
        <v>464</v>
      </c>
      <c r="E392" s="5" t="s">
        <v>13</v>
      </c>
      <c r="F392" s="5" t="s">
        <v>32</v>
      </c>
      <c r="G392" s="6">
        <v>56700</v>
      </c>
      <c r="H392" s="387" t="str">
        <f>HYPERLINK("https://adv-map.ru/place/?LINK=e84b3f0063f4e3b4d2bc121d06cf2cc8","Ссылка")</f>
        <v>Ссылка</v>
      </c>
      <c r="I392" s="5" t="s">
        <v>465</v>
      </c>
    </row>
    <row r="393" spans="1:9" s="4" customFormat="1" ht="51" customHeight="1" outlineLevel="1" x14ac:dyDescent="0.2">
      <c r="A393" s="5" t="s">
        <v>340</v>
      </c>
      <c r="B393" s="5" t="s">
        <v>354</v>
      </c>
      <c r="C393" s="5" t="s">
        <v>463</v>
      </c>
      <c r="D393" s="5" t="s">
        <v>464</v>
      </c>
      <c r="E393" s="5" t="s">
        <v>13</v>
      </c>
      <c r="F393" s="5" t="s">
        <v>469</v>
      </c>
      <c r="G393" s="6">
        <v>56700</v>
      </c>
      <c r="H393" s="388" t="str">
        <f>HYPERLINK("https://adv-map.ru/place/?LINK=123fa09982bdea37873252e119de1739","Ссылка")</f>
        <v>Ссылка</v>
      </c>
      <c r="I393" s="5" t="s">
        <v>465</v>
      </c>
    </row>
    <row r="394" spans="1:9" s="4" customFormat="1" ht="38.1" customHeight="1" outlineLevel="1" x14ac:dyDescent="0.2">
      <c r="A394" s="5" t="s">
        <v>340</v>
      </c>
      <c r="B394" s="5" t="s">
        <v>354</v>
      </c>
      <c r="C394" s="5" t="s">
        <v>463</v>
      </c>
      <c r="D394" s="5" t="s">
        <v>464</v>
      </c>
      <c r="E394" s="5" t="s">
        <v>13</v>
      </c>
      <c r="F394" s="5" t="s">
        <v>470</v>
      </c>
      <c r="G394" s="6">
        <v>56700</v>
      </c>
      <c r="H394" s="389" t="str">
        <f>HYPERLINK("https://adv-map.ru/place/?LINK=f1f04962d2e3ec9dd9e2b8b42807daa1","Ссылка")</f>
        <v>Ссылка</v>
      </c>
      <c r="I394" s="5" t="s">
        <v>465</v>
      </c>
    </row>
    <row r="395" spans="1:9" s="4" customFormat="1" ht="38.1" customHeight="1" outlineLevel="1" x14ac:dyDescent="0.2">
      <c r="A395" s="5" t="s">
        <v>340</v>
      </c>
      <c r="B395" s="5" t="s">
        <v>354</v>
      </c>
      <c r="C395" s="5" t="s">
        <v>463</v>
      </c>
      <c r="D395" s="5" t="s">
        <v>464</v>
      </c>
      <c r="E395" s="5" t="s">
        <v>13</v>
      </c>
      <c r="F395" s="5" t="s">
        <v>471</v>
      </c>
      <c r="G395" s="6">
        <v>56700</v>
      </c>
      <c r="H395" s="390" t="str">
        <f>HYPERLINK("https://adv-map.ru/place/?LINK=b5838dfb3eb203a2f5993742d9ee09d0","Ссылка")</f>
        <v>Ссылка</v>
      </c>
      <c r="I395" s="5" t="s">
        <v>465</v>
      </c>
    </row>
    <row r="396" spans="1:9" s="4" customFormat="1" ht="38.1" customHeight="1" outlineLevel="1" x14ac:dyDescent="0.2">
      <c r="A396" s="5" t="s">
        <v>340</v>
      </c>
      <c r="B396" s="5" t="s">
        <v>354</v>
      </c>
      <c r="C396" s="5" t="s">
        <v>463</v>
      </c>
      <c r="D396" s="5" t="s">
        <v>464</v>
      </c>
      <c r="E396" s="5" t="s">
        <v>13</v>
      </c>
      <c r="F396" s="5" t="s">
        <v>472</v>
      </c>
      <c r="G396" s="6">
        <v>56700</v>
      </c>
      <c r="H396" s="391" t="str">
        <f>HYPERLINK("https://adv-map.ru/place/?LINK=b227e2523792fa9f6165619ed9bded0b","Ссылка")</f>
        <v>Ссылка</v>
      </c>
      <c r="I396" s="5" t="s">
        <v>465</v>
      </c>
    </row>
    <row r="397" spans="1:9" s="4" customFormat="1" ht="38.1" customHeight="1" outlineLevel="1" x14ac:dyDescent="0.2">
      <c r="A397" s="5" t="s">
        <v>340</v>
      </c>
      <c r="B397" s="5" t="s">
        <v>354</v>
      </c>
      <c r="C397" s="5" t="s">
        <v>463</v>
      </c>
      <c r="D397" s="5" t="s">
        <v>464</v>
      </c>
      <c r="E397" s="5" t="s">
        <v>13</v>
      </c>
      <c r="F397" s="5" t="s">
        <v>473</v>
      </c>
      <c r="G397" s="6">
        <v>56700</v>
      </c>
      <c r="H397" s="392" t="str">
        <f>HYPERLINK("https://adv-map.ru/place/?LINK=c6958435a44f445ed6332558a3bdaf27","Ссылка")</f>
        <v>Ссылка</v>
      </c>
      <c r="I397" s="5" t="s">
        <v>465</v>
      </c>
    </row>
    <row r="398" spans="1:9" s="4" customFormat="1" ht="38.1" customHeight="1" outlineLevel="1" x14ac:dyDescent="0.2">
      <c r="A398" s="5" t="s">
        <v>340</v>
      </c>
      <c r="B398" s="5" t="s">
        <v>354</v>
      </c>
      <c r="C398" s="5" t="s">
        <v>463</v>
      </c>
      <c r="D398" s="5" t="s">
        <v>12</v>
      </c>
      <c r="E398" s="5" t="s">
        <v>13</v>
      </c>
      <c r="F398" s="5" t="s">
        <v>16</v>
      </c>
      <c r="G398" s="6">
        <v>31500</v>
      </c>
      <c r="H398" s="393" t="str">
        <f>HYPERLINK("https://adv-map.ru/place/?LINK=76e84c72e12f4832af34e94806d0b485","Ссылка")</f>
        <v>Ссылка</v>
      </c>
      <c r="I398" s="5" t="s">
        <v>465</v>
      </c>
    </row>
    <row r="399" spans="1:9" s="4" customFormat="1" ht="38.1" customHeight="1" outlineLevel="1" x14ac:dyDescent="0.2">
      <c r="A399" s="5" t="s">
        <v>340</v>
      </c>
      <c r="B399" s="5" t="s">
        <v>354</v>
      </c>
      <c r="C399" s="5" t="s">
        <v>474</v>
      </c>
      <c r="D399" s="5" t="s">
        <v>347</v>
      </c>
      <c r="E399" s="5" t="s">
        <v>348</v>
      </c>
      <c r="F399" s="5" t="s">
        <v>14</v>
      </c>
      <c r="G399" s="6">
        <v>27720</v>
      </c>
      <c r="H399" s="394" t="str">
        <f>HYPERLINK("https://adv-map.ru/place/?LINK=870c802a461050c36a45d4d89d952735","Ссылка")</f>
        <v>Ссылка</v>
      </c>
      <c r="I399" s="5" t="s">
        <v>475</v>
      </c>
    </row>
    <row r="400" spans="1:9" s="4" customFormat="1" ht="38.1" customHeight="1" outlineLevel="1" x14ac:dyDescent="0.2">
      <c r="A400" s="5" t="s">
        <v>340</v>
      </c>
      <c r="B400" s="5" t="s">
        <v>354</v>
      </c>
      <c r="C400" s="5" t="s">
        <v>474</v>
      </c>
      <c r="D400" s="5" t="s">
        <v>347</v>
      </c>
      <c r="E400" s="5" t="s">
        <v>348</v>
      </c>
      <c r="F400" s="5" t="s">
        <v>16</v>
      </c>
      <c r="G400" s="6">
        <v>22680</v>
      </c>
      <c r="H400" s="395" t="str">
        <f>HYPERLINK("https://adv-map.ru/place/?LINK=4359bc559450799f77c9ede19f0fde8e","Ссылка")</f>
        <v>Ссылка</v>
      </c>
      <c r="I400" s="5" t="s">
        <v>475</v>
      </c>
    </row>
    <row r="401" spans="1:9" s="4" customFormat="1" ht="38.1" customHeight="1" outlineLevel="1" x14ac:dyDescent="0.2">
      <c r="A401" s="5" t="s">
        <v>340</v>
      </c>
      <c r="B401" s="5" t="s">
        <v>354</v>
      </c>
      <c r="C401" s="5" t="s">
        <v>476</v>
      </c>
      <c r="D401" s="5" t="s">
        <v>347</v>
      </c>
      <c r="E401" s="5" t="s">
        <v>348</v>
      </c>
      <c r="F401" s="5" t="s">
        <v>14</v>
      </c>
      <c r="G401" s="6">
        <v>27720</v>
      </c>
      <c r="H401" s="396" t="str">
        <f>HYPERLINK("https://adv-map.ru/place/?LINK=59e5d29fad54e23dbf9b3fd6abe6b4f4","Ссылка")</f>
        <v>Ссылка</v>
      </c>
      <c r="I401" s="5" t="s">
        <v>477</v>
      </c>
    </row>
    <row r="402" spans="1:9" s="4" customFormat="1" ht="38.1" customHeight="1" outlineLevel="1" x14ac:dyDescent="0.2">
      <c r="A402" s="5" t="s">
        <v>340</v>
      </c>
      <c r="B402" s="5" t="s">
        <v>354</v>
      </c>
      <c r="C402" s="5" t="s">
        <v>476</v>
      </c>
      <c r="D402" s="5" t="s">
        <v>347</v>
      </c>
      <c r="E402" s="5" t="s">
        <v>348</v>
      </c>
      <c r="F402" s="5" t="s">
        <v>16</v>
      </c>
      <c r="G402" s="6">
        <v>22680</v>
      </c>
      <c r="H402" s="397" t="str">
        <f>HYPERLINK("https://adv-map.ru/place/?LINK=6cbdbada95bdc658af1317968b62cec6","Ссылка")</f>
        <v>Ссылка</v>
      </c>
      <c r="I402" s="5" t="s">
        <v>477</v>
      </c>
    </row>
    <row r="403" spans="1:9" s="4" customFormat="1" ht="38.1" customHeight="1" outlineLevel="1" x14ac:dyDescent="0.2">
      <c r="A403" s="5" t="s">
        <v>340</v>
      </c>
      <c r="B403" s="5" t="s">
        <v>354</v>
      </c>
      <c r="C403" s="5" t="s">
        <v>478</v>
      </c>
      <c r="D403" s="5" t="s">
        <v>12</v>
      </c>
      <c r="E403" s="5" t="s">
        <v>13</v>
      </c>
      <c r="F403" s="5" t="s">
        <v>14</v>
      </c>
      <c r="G403" s="6">
        <v>53000</v>
      </c>
      <c r="H403" s="398" t="str">
        <f>HYPERLINK("https://adv-map.ru/place/?LINK=db7a20eefded774d576b4293495f3500","Ссылка")</f>
        <v>Ссылка</v>
      </c>
      <c r="I403" s="5" t="s">
        <v>479</v>
      </c>
    </row>
    <row r="404" spans="1:9" s="4" customFormat="1" ht="38.1" customHeight="1" outlineLevel="1" x14ac:dyDescent="0.2">
      <c r="A404" s="5" t="s">
        <v>340</v>
      </c>
      <c r="B404" s="5" t="s">
        <v>354</v>
      </c>
      <c r="C404" s="5" t="s">
        <v>478</v>
      </c>
      <c r="D404" s="5" t="s">
        <v>12</v>
      </c>
      <c r="E404" s="5" t="s">
        <v>13</v>
      </c>
      <c r="F404" s="5" t="s">
        <v>16</v>
      </c>
      <c r="G404" s="6">
        <v>20000</v>
      </c>
      <c r="H404" s="399" t="str">
        <f>HYPERLINK("https://adv-map.ru/place/?LINK=eccc6dfda80ad888c39ea125275ff9ff","Ссылка")</f>
        <v>Ссылка</v>
      </c>
      <c r="I404" s="5" t="s">
        <v>479</v>
      </c>
    </row>
    <row r="405" spans="1:9" s="4" customFormat="1" ht="38.1" customHeight="1" outlineLevel="1" x14ac:dyDescent="0.2">
      <c r="A405" s="5" t="s">
        <v>340</v>
      </c>
      <c r="B405" s="5" t="s">
        <v>354</v>
      </c>
      <c r="C405" s="5" t="s">
        <v>480</v>
      </c>
      <c r="D405" s="5" t="s">
        <v>12</v>
      </c>
      <c r="E405" s="5" t="s">
        <v>13</v>
      </c>
      <c r="F405" s="5" t="s">
        <v>16</v>
      </c>
      <c r="G405" s="6">
        <v>25200</v>
      </c>
      <c r="H405" s="400" t="str">
        <f>HYPERLINK("https://adv-map.ru/place/?LINK=86b628492a175adb5c7437f6335dc0af","Ссылка")</f>
        <v>Ссылка</v>
      </c>
      <c r="I405" s="5" t="s">
        <v>481</v>
      </c>
    </row>
    <row r="406" spans="1:9" s="4" customFormat="1" ht="38.1" customHeight="1" outlineLevel="1" x14ac:dyDescent="0.2">
      <c r="A406" s="5" t="s">
        <v>340</v>
      </c>
      <c r="B406" s="5" t="s">
        <v>354</v>
      </c>
      <c r="C406" s="5" t="s">
        <v>482</v>
      </c>
      <c r="D406" s="5" t="s">
        <v>464</v>
      </c>
      <c r="E406" s="5" t="s">
        <v>13</v>
      </c>
      <c r="F406" s="5" t="s">
        <v>28</v>
      </c>
      <c r="G406" s="6">
        <v>57750</v>
      </c>
      <c r="H406" s="401" t="str">
        <f>HYPERLINK("https://adv-map.ru/place/?LINK=b7cd2876d54129e72295aeb0bfef5842","Ссылка")</f>
        <v>Ссылка</v>
      </c>
      <c r="I406" s="5" t="s">
        <v>483</v>
      </c>
    </row>
    <row r="407" spans="1:9" s="4" customFormat="1" ht="38.1" customHeight="1" outlineLevel="1" x14ac:dyDescent="0.2">
      <c r="A407" s="5" t="s">
        <v>340</v>
      </c>
      <c r="B407" s="5" t="s">
        <v>354</v>
      </c>
      <c r="C407" s="5" t="s">
        <v>482</v>
      </c>
      <c r="D407" s="5" t="s">
        <v>464</v>
      </c>
      <c r="E407" s="5" t="s">
        <v>13</v>
      </c>
      <c r="F407" s="5" t="s">
        <v>466</v>
      </c>
      <c r="G407" s="6">
        <v>57750</v>
      </c>
      <c r="H407" s="402" t="str">
        <f>HYPERLINK("https://adv-map.ru/place/?LINK=edf583e80bfaaec41df88ffb7ae37fef","Ссылка")</f>
        <v>Ссылка</v>
      </c>
      <c r="I407" s="5" t="s">
        <v>483</v>
      </c>
    </row>
    <row r="408" spans="1:9" s="4" customFormat="1" ht="38.1" customHeight="1" outlineLevel="1" x14ac:dyDescent="0.2">
      <c r="A408" s="5" t="s">
        <v>340</v>
      </c>
      <c r="B408" s="5" t="s">
        <v>354</v>
      </c>
      <c r="C408" s="5" t="s">
        <v>482</v>
      </c>
      <c r="D408" s="5" t="s">
        <v>464</v>
      </c>
      <c r="E408" s="5" t="s">
        <v>13</v>
      </c>
      <c r="F408" s="5" t="s">
        <v>467</v>
      </c>
      <c r="G408" s="6">
        <v>57750</v>
      </c>
      <c r="H408" s="403" t="str">
        <f>HYPERLINK("https://adv-map.ru/place/?LINK=15b5126c3bd44d56e544cb49ed3aa2fb","Ссылка")</f>
        <v>Ссылка</v>
      </c>
      <c r="I408" s="5" t="s">
        <v>483</v>
      </c>
    </row>
    <row r="409" spans="1:9" s="4" customFormat="1" ht="38.1" customHeight="1" outlineLevel="1" x14ac:dyDescent="0.2">
      <c r="A409" s="5" t="s">
        <v>340</v>
      </c>
      <c r="B409" s="5" t="s">
        <v>354</v>
      </c>
      <c r="C409" s="5" t="s">
        <v>482</v>
      </c>
      <c r="D409" s="5" t="s">
        <v>464</v>
      </c>
      <c r="E409" s="5" t="s">
        <v>13</v>
      </c>
      <c r="F409" s="5" t="s">
        <v>468</v>
      </c>
      <c r="G409" s="6">
        <v>57750</v>
      </c>
      <c r="H409" s="404" t="str">
        <f>HYPERLINK("https://adv-map.ru/place/?LINK=3545a4c1bf14405b5169cf2d86cc06bc","Ссылка")</f>
        <v>Ссылка</v>
      </c>
      <c r="I409" s="5" t="s">
        <v>483</v>
      </c>
    </row>
    <row r="410" spans="1:9" s="4" customFormat="1" ht="38.1" customHeight="1" outlineLevel="1" x14ac:dyDescent="0.2">
      <c r="A410" s="5" t="s">
        <v>340</v>
      </c>
      <c r="B410" s="5" t="s">
        <v>354</v>
      </c>
      <c r="C410" s="5" t="s">
        <v>482</v>
      </c>
      <c r="D410" s="5" t="s">
        <v>464</v>
      </c>
      <c r="E410" s="5" t="s">
        <v>13</v>
      </c>
      <c r="F410" s="5" t="s">
        <v>30</v>
      </c>
      <c r="G410" s="6">
        <v>57750</v>
      </c>
      <c r="H410" s="405" t="str">
        <f>HYPERLINK("https://adv-map.ru/place/?LINK=61da4db1205a1c6c9d0b426585f19d72","Ссылка")</f>
        <v>Ссылка</v>
      </c>
      <c r="I410" s="5" t="s">
        <v>483</v>
      </c>
    </row>
    <row r="411" spans="1:9" s="4" customFormat="1" ht="38.1" customHeight="1" outlineLevel="1" x14ac:dyDescent="0.2">
      <c r="A411" s="5" t="s">
        <v>340</v>
      </c>
      <c r="B411" s="5" t="s">
        <v>354</v>
      </c>
      <c r="C411" s="5" t="s">
        <v>482</v>
      </c>
      <c r="D411" s="5" t="s">
        <v>464</v>
      </c>
      <c r="E411" s="5" t="s">
        <v>13</v>
      </c>
      <c r="F411" s="5" t="s">
        <v>31</v>
      </c>
      <c r="G411" s="6">
        <v>57750</v>
      </c>
      <c r="H411" s="406" t="str">
        <f>HYPERLINK("https://adv-map.ru/place/?LINK=4daeb986d18cc46f7366feaa06cc4ee8","Ссылка")</f>
        <v>Ссылка</v>
      </c>
      <c r="I411" s="5" t="s">
        <v>483</v>
      </c>
    </row>
    <row r="412" spans="1:9" s="4" customFormat="1" ht="38.1" customHeight="1" outlineLevel="1" x14ac:dyDescent="0.2">
      <c r="A412" s="5" t="s">
        <v>340</v>
      </c>
      <c r="B412" s="5" t="s">
        <v>354</v>
      </c>
      <c r="C412" s="5" t="s">
        <v>482</v>
      </c>
      <c r="D412" s="5" t="s">
        <v>464</v>
      </c>
      <c r="E412" s="5" t="s">
        <v>13</v>
      </c>
      <c r="F412" s="5" t="s">
        <v>32</v>
      </c>
      <c r="G412" s="6">
        <v>57750</v>
      </c>
      <c r="H412" s="407" t="str">
        <f>HYPERLINK("https://adv-map.ru/place/?LINK=02768d182f901a6af1bd887a6e3781d3","Ссылка")</f>
        <v>Ссылка</v>
      </c>
      <c r="I412" s="5" t="s">
        <v>483</v>
      </c>
    </row>
    <row r="413" spans="1:9" s="4" customFormat="1" ht="38.1" customHeight="1" outlineLevel="1" x14ac:dyDescent="0.2">
      <c r="A413" s="5" t="s">
        <v>340</v>
      </c>
      <c r="B413" s="5" t="s">
        <v>354</v>
      </c>
      <c r="C413" s="5" t="s">
        <v>482</v>
      </c>
      <c r="D413" s="5" t="s">
        <v>464</v>
      </c>
      <c r="E413" s="5" t="s">
        <v>13</v>
      </c>
      <c r="F413" s="5" t="s">
        <v>469</v>
      </c>
      <c r="G413" s="6">
        <v>57750</v>
      </c>
      <c r="H413" s="408" t="str">
        <f>HYPERLINK("https://adv-map.ru/place/?LINK=63cdf84951230ed9aecc8074fcb43b3f","Ссылка")</f>
        <v>Ссылка</v>
      </c>
      <c r="I413" s="5" t="s">
        <v>483</v>
      </c>
    </row>
    <row r="414" spans="1:9" s="4" customFormat="1" ht="38.1" customHeight="1" outlineLevel="1" x14ac:dyDescent="0.2">
      <c r="A414" s="5" t="s">
        <v>340</v>
      </c>
      <c r="B414" s="5" t="s">
        <v>354</v>
      </c>
      <c r="C414" s="5" t="s">
        <v>482</v>
      </c>
      <c r="D414" s="5" t="s">
        <v>464</v>
      </c>
      <c r="E414" s="5" t="s">
        <v>13</v>
      </c>
      <c r="F414" s="5" t="s">
        <v>470</v>
      </c>
      <c r="G414" s="6">
        <v>57750</v>
      </c>
      <c r="H414" s="409" t="str">
        <f>HYPERLINK("https://adv-map.ru/place/?LINK=4cda1dd6e7bd3aa62ad5fbcc04c22e25","Ссылка")</f>
        <v>Ссылка</v>
      </c>
      <c r="I414" s="5" t="s">
        <v>483</v>
      </c>
    </row>
    <row r="415" spans="1:9" s="4" customFormat="1" ht="38.1" customHeight="1" outlineLevel="1" x14ac:dyDescent="0.2">
      <c r="A415" s="5" t="s">
        <v>340</v>
      </c>
      <c r="B415" s="5" t="s">
        <v>354</v>
      </c>
      <c r="C415" s="5" t="s">
        <v>482</v>
      </c>
      <c r="D415" s="5" t="s">
        <v>464</v>
      </c>
      <c r="E415" s="5" t="s">
        <v>13</v>
      </c>
      <c r="F415" s="5" t="s">
        <v>471</v>
      </c>
      <c r="G415" s="6">
        <v>57750</v>
      </c>
      <c r="H415" s="410" t="str">
        <f>HYPERLINK("https://adv-map.ru/place/?LINK=7073b23a11812826fdb7e98327c29693","Ссылка")</f>
        <v>Ссылка</v>
      </c>
      <c r="I415" s="5" t="s">
        <v>483</v>
      </c>
    </row>
    <row r="416" spans="1:9" s="4" customFormat="1" ht="38.1" customHeight="1" outlineLevel="1" x14ac:dyDescent="0.2">
      <c r="A416" s="5" t="s">
        <v>340</v>
      </c>
      <c r="B416" s="5" t="s">
        <v>354</v>
      </c>
      <c r="C416" s="5" t="s">
        <v>482</v>
      </c>
      <c r="D416" s="5" t="s">
        <v>464</v>
      </c>
      <c r="E416" s="5" t="s">
        <v>13</v>
      </c>
      <c r="F416" s="5" t="s">
        <v>472</v>
      </c>
      <c r="G416" s="6">
        <v>57750</v>
      </c>
      <c r="H416" s="411" t="str">
        <f>HYPERLINK("https://adv-map.ru/place/?LINK=33fa3444ff0fe16d4f1fbbeba34bdc72","Ссылка")</f>
        <v>Ссылка</v>
      </c>
      <c r="I416" s="5" t="s">
        <v>483</v>
      </c>
    </row>
    <row r="417" spans="1:9" s="4" customFormat="1" ht="38.1" customHeight="1" outlineLevel="1" x14ac:dyDescent="0.2">
      <c r="A417" s="5" t="s">
        <v>340</v>
      </c>
      <c r="B417" s="5" t="s">
        <v>354</v>
      </c>
      <c r="C417" s="5" t="s">
        <v>482</v>
      </c>
      <c r="D417" s="5" t="s">
        <v>464</v>
      </c>
      <c r="E417" s="5" t="s">
        <v>13</v>
      </c>
      <c r="F417" s="5" t="s">
        <v>473</v>
      </c>
      <c r="G417" s="6">
        <v>57750</v>
      </c>
      <c r="H417" s="412" t="str">
        <f>HYPERLINK("https://adv-map.ru/place/?LINK=c0dd466cc48e2bc50eef3b6415e47138","Ссылка")</f>
        <v>Ссылка</v>
      </c>
      <c r="I417" s="5" t="s">
        <v>483</v>
      </c>
    </row>
    <row r="418" spans="1:9" s="4" customFormat="1" ht="38.1" customHeight="1" outlineLevel="1" x14ac:dyDescent="0.2">
      <c r="A418" s="5" t="s">
        <v>340</v>
      </c>
      <c r="B418" s="5" t="s">
        <v>354</v>
      </c>
      <c r="C418" s="5" t="s">
        <v>484</v>
      </c>
      <c r="D418" s="5" t="s">
        <v>49</v>
      </c>
      <c r="E418" s="5" t="s">
        <v>13</v>
      </c>
      <c r="F418" s="5" t="s">
        <v>28</v>
      </c>
      <c r="G418" s="6">
        <v>50400</v>
      </c>
      <c r="H418" s="413" t="str">
        <f>HYPERLINK("https://adv-map.ru/place/?LINK=3e0c0280c8bce765eb483b93b5d2c67f","Ссылка")</f>
        <v>Ссылка</v>
      </c>
      <c r="I418" s="5" t="s">
        <v>485</v>
      </c>
    </row>
    <row r="419" spans="1:9" s="4" customFormat="1" ht="38.1" customHeight="1" outlineLevel="1" x14ac:dyDescent="0.2">
      <c r="A419" s="5" t="s">
        <v>340</v>
      </c>
      <c r="B419" s="5" t="s">
        <v>354</v>
      </c>
      <c r="C419" s="5" t="s">
        <v>484</v>
      </c>
      <c r="D419" s="5" t="s">
        <v>49</v>
      </c>
      <c r="E419" s="5" t="s">
        <v>13</v>
      </c>
      <c r="F419" s="5" t="s">
        <v>30</v>
      </c>
      <c r="G419" s="6">
        <v>50400</v>
      </c>
      <c r="H419" s="414" t="str">
        <f>HYPERLINK("https://adv-map.ru/place/?LINK=bd89ef29545594f0d0aa4de21a5a460a","Ссылка")</f>
        <v>Ссылка</v>
      </c>
      <c r="I419" s="5" t="s">
        <v>485</v>
      </c>
    </row>
    <row r="420" spans="1:9" s="4" customFormat="1" ht="38.1" customHeight="1" outlineLevel="1" x14ac:dyDescent="0.2">
      <c r="A420" s="5" t="s">
        <v>340</v>
      </c>
      <c r="B420" s="5" t="s">
        <v>354</v>
      </c>
      <c r="C420" s="5" t="s">
        <v>484</v>
      </c>
      <c r="D420" s="5" t="s">
        <v>49</v>
      </c>
      <c r="E420" s="5" t="s">
        <v>13</v>
      </c>
      <c r="F420" s="5" t="s">
        <v>31</v>
      </c>
      <c r="G420" s="6">
        <v>50400</v>
      </c>
      <c r="H420" s="415" t="str">
        <f>HYPERLINK("https://adv-map.ru/place/?LINK=b7be5994e6135daad9d5f899eb266d25","Ссылка")</f>
        <v>Ссылка</v>
      </c>
      <c r="I420" s="5" t="s">
        <v>485</v>
      </c>
    </row>
    <row r="421" spans="1:9" s="4" customFormat="1" ht="38.1" customHeight="1" outlineLevel="1" x14ac:dyDescent="0.2">
      <c r="A421" s="5" t="s">
        <v>340</v>
      </c>
      <c r="B421" s="5" t="s">
        <v>354</v>
      </c>
      <c r="C421" s="5" t="s">
        <v>484</v>
      </c>
      <c r="D421" s="5" t="s">
        <v>12</v>
      </c>
      <c r="E421" s="5" t="s">
        <v>13</v>
      </c>
      <c r="F421" s="5" t="s">
        <v>16</v>
      </c>
      <c r="G421" s="6">
        <v>25200</v>
      </c>
      <c r="H421" s="416" t="str">
        <f>HYPERLINK("https://adv-map.ru/place/?LINK=e4cb5625cbb75bd3d0b1b64c15be9278","Ссылка")</f>
        <v>Ссылка</v>
      </c>
      <c r="I421" s="5" t="s">
        <v>485</v>
      </c>
    </row>
    <row r="422" spans="1:9" s="4" customFormat="1" ht="38.1" customHeight="1" outlineLevel="1" x14ac:dyDescent="0.2">
      <c r="A422" s="5" t="s">
        <v>340</v>
      </c>
      <c r="B422" s="5" t="s">
        <v>354</v>
      </c>
      <c r="C422" s="5" t="s">
        <v>486</v>
      </c>
      <c r="D422" s="5" t="s">
        <v>347</v>
      </c>
      <c r="E422" s="5" t="s">
        <v>348</v>
      </c>
      <c r="F422" s="5" t="s">
        <v>14</v>
      </c>
      <c r="G422" s="6">
        <v>23000</v>
      </c>
      <c r="H422" s="417" t="str">
        <f>HYPERLINK("https://adv-map.ru/place/?LINK=aa979d0b2c53f6ca8c294da46679bef7","Ссылка")</f>
        <v>Ссылка</v>
      </c>
      <c r="I422" s="5" t="s">
        <v>487</v>
      </c>
    </row>
    <row r="423" spans="1:9" s="4" customFormat="1" ht="38.1" customHeight="1" outlineLevel="1" x14ac:dyDescent="0.2">
      <c r="A423" s="5" t="s">
        <v>340</v>
      </c>
      <c r="B423" s="5" t="s">
        <v>354</v>
      </c>
      <c r="C423" s="5" t="s">
        <v>486</v>
      </c>
      <c r="D423" s="5" t="s">
        <v>347</v>
      </c>
      <c r="E423" s="5" t="s">
        <v>348</v>
      </c>
      <c r="F423" s="5" t="s">
        <v>16</v>
      </c>
      <c r="G423" s="6">
        <v>16000</v>
      </c>
      <c r="H423" s="418" t="str">
        <f>HYPERLINK("https://adv-map.ru/place/?LINK=a442a3dfc29ab574dc83d9ccb4778ce7","Ссылка")</f>
        <v>Ссылка</v>
      </c>
      <c r="I423" s="5" t="s">
        <v>487</v>
      </c>
    </row>
    <row r="424" spans="1:9" s="4" customFormat="1" ht="38.1" customHeight="1" outlineLevel="1" x14ac:dyDescent="0.2">
      <c r="A424" s="5" t="s">
        <v>340</v>
      </c>
      <c r="B424" s="5" t="s">
        <v>354</v>
      </c>
      <c r="C424" s="5" t="s">
        <v>488</v>
      </c>
      <c r="D424" s="5" t="s">
        <v>49</v>
      </c>
      <c r="E424" s="5" t="s">
        <v>13</v>
      </c>
      <c r="F424" s="5" t="s">
        <v>28</v>
      </c>
      <c r="G424" s="6">
        <v>50400</v>
      </c>
      <c r="H424" s="419" t="str">
        <f>HYPERLINK("https://adv-map.ru/place/?LINK=119dc2350e6144cf9ec4524b368c9bc2","Ссылка")</f>
        <v>Ссылка</v>
      </c>
      <c r="I424" s="5" t="s">
        <v>489</v>
      </c>
    </row>
    <row r="425" spans="1:9" s="4" customFormat="1" ht="38.1" customHeight="1" outlineLevel="1" x14ac:dyDescent="0.2">
      <c r="A425" s="5" t="s">
        <v>340</v>
      </c>
      <c r="B425" s="5" t="s">
        <v>354</v>
      </c>
      <c r="C425" s="5" t="s">
        <v>488</v>
      </c>
      <c r="D425" s="5" t="s">
        <v>49</v>
      </c>
      <c r="E425" s="5" t="s">
        <v>13</v>
      </c>
      <c r="F425" s="5" t="s">
        <v>30</v>
      </c>
      <c r="G425" s="6">
        <v>50400</v>
      </c>
      <c r="H425" s="420" t="str">
        <f>HYPERLINK("https://adv-map.ru/place/?LINK=8376b217d3122244c53c61076f939834","Ссылка")</f>
        <v>Ссылка</v>
      </c>
      <c r="I425" s="5" t="s">
        <v>489</v>
      </c>
    </row>
    <row r="426" spans="1:9" s="4" customFormat="1" ht="38.1" customHeight="1" outlineLevel="1" x14ac:dyDescent="0.2">
      <c r="A426" s="5" t="s">
        <v>340</v>
      </c>
      <c r="B426" s="5" t="s">
        <v>354</v>
      </c>
      <c r="C426" s="5" t="s">
        <v>488</v>
      </c>
      <c r="D426" s="5" t="s">
        <v>49</v>
      </c>
      <c r="E426" s="5" t="s">
        <v>13</v>
      </c>
      <c r="F426" s="5" t="s">
        <v>31</v>
      </c>
      <c r="G426" s="6">
        <v>50400</v>
      </c>
      <c r="H426" s="421" t="str">
        <f>HYPERLINK("https://adv-map.ru/place/?LINK=ea4cfa593d1b9f1906c46843e90745c4","Ссылка")</f>
        <v>Ссылка</v>
      </c>
      <c r="I426" s="5" t="s">
        <v>489</v>
      </c>
    </row>
    <row r="427" spans="1:9" s="4" customFormat="1" ht="38.1" customHeight="1" outlineLevel="1" x14ac:dyDescent="0.2">
      <c r="A427" s="5" t="s">
        <v>340</v>
      </c>
      <c r="B427" s="5" t="s">
        <v>354</v>
      </c>
      <c r="C427" s="5" t="s">
        <v>488</v>
      </c>
      <c r="D427" s="5" t="s">
        <v>12</v>
      </c>
      <c r="E427" s="5" t="s">
        <v>13</v>
      </c>
      <c r="F427" s="5" t="s">
        <v>16</v>
      </c>
      <c r="G427" s="6">
        <v>31500</v>
      </c>
      <c r="H427" s="422" t="str">
        <f>HYPERLINK("https://adv-map.ru/place/?LINK=c45efc77b5160985a676c0652b3fd157","Ссылка")</f>
        <v>Ссылка</v>
      </c>
      <c r="I427" s="5" t="s">
        <v>489</v>
      </c>
    </row>
    <row r="428" spans="1:9" s="4" customFormat="1" ht="38.1" customHeight="1" outlineLevel="1" x14ac:dyDescent="0.2">
      <c r="A428" s="5" t="s">
        <v>340</v>
      </c>
      <c r="B428" s="5" t="s">
        <v>354</v>
      </c>
      <c r="C428" s="5" t="s">
        <v>490</v>
      </c>
      <c r="D428" s="5" t="s">
        <v>49</v>
      </c>
      <c r="E428" s="5" t="s">
        <v>13</v>
      </c>
      <c r="F428" s="5" t="s">
        <v>28</v>
      </c>
      <c r="G428" s="6">
        <v>50400</v>
      </c>
      <c r="H428" s="423" t="str">
        <f>HYPERLINK("https://adv-map.ru/place/?LINK=ec0552b18140a3da0db1907d0f7eae52","Ссылка")</f>
        <v>Ссылка</v>
      </c>
      <c r="I428" s="5" t="s">
        <v>491</v>
      </c>
    </row>
    <row r="429" spans="1:9" s="4" customFormat="1" ht="38.1" customHeight="1" outlineLevel="1" x14ac:dyDescent="0.2">
      <c r="A429" s="5" t="s">
        <v>340</v>
      </c>
      <c r="B429" s="5" t="s">
        <v>354</v>
      </c>
      <c r="C429" s="5" t="s">
        <v>490</v>
      </c>
      <c r="D429" s="5" t="s">
        <v>49</v>
      </c>
      <c r="E429" s="5" t="s">
        <v>13</v>
      </c>
      <c r="F429" s="5" t="s">
        <v>30</v>
      </c>
      <c r="G429" s="6">
        <v>50400</v>
      </c>
      <c r="H429" s="424" t="str">
        <f>HYPERLINK("https://adv-map.ru/place/?LINK=f52e40e00b51781fa825dcdce7055e1b","Ссылка")</f>
        <v>Ссылка</v>
      </c>
      <c r="I429" s="5" t="s">
        <v>491</v>
      </c>
    </row>
    <row r="430" spans="1:9" s="4" customFormat="1" ht="38.1" customHeight="1" outlineLevel="1" x14ac:dyDescent="0.2">
      <c r="A430" s="5" t="s">
        <v>340</v>
      </c>
      <c r="B430" s="5" t="s">
        <v>354</v>
      </c>
      <c r="C430" s="5" t="s">
        <v>490</v>
      </c>
      <c r="D430" s="5" t="s">
        <v>49</v>
      </c>
      <c r="E430" s="5" t="s">
        <v>13</v>
      </c>
      <c r="F430" s="5" t="s">
        <v>31</v>
      </c>
      <c r="G430" s="6">
        <v>50400</v>
      </c>
      <c r="H430" s="425" t="str">
        <f>HYPERLINK("https://adv-map.ru/place/?LINK=37d3158c809e1c0d9624fd2b1229ebab","Ссылка")</f>
        <v>Ссылка</v>
      </c>
      <c r="I430" s="5" t="s">
        <v>491</v>
      </c>
    </row>
    <row r="431" spans="1:9" s="4" customFormat="1" ht="38.1" customHeight="1" outlineLevel="1" x14ac:dyDescent="0.2">
      <c r="A431" s="5" t="s">
        <v>340</v>
      </c>
      <c r="B431" s="5" t="s">
        <v>354</v>
      </c>
      <c r="C431" s="5" t="s">
        <v>490</v>
      </c>
      <c r="D431" s="5" t="s">
        <v>12</v>
      </c>
      <c r="E431" s="5" t="s">
        <v>13</v>
      </c>
      <c r="F431" s="5" t="s">
        <v>16</v>
      </c>
      <c r="G431" s="6">
        <v>37800</v>
      </c>
      <c r="H431" s="426" t="str">
        <f>HYPERLINK("https://adv-map.ru/place/?LINK=2cdd863d68524ba0cb6d82478ce49cd2","Ссылка")</f>
        <v>Ссылка</v>
      </c>
      <c r="I431" s="5" t="s">
        <v>492</v>
      </c>
    </row>
    <row r="432" spans="1:9" s="4" customFormat="1" ht="38.1" customHeight="1" outlineLevel="1" x14ac:dyDescent="0.2">
      <c r="A432" s="5" t="s">
        <v>340</v>
      </c>
      <c r="B432" s="5" t="s">
        <v>354</v>
      </c>
      <c r="C432" s="5" t="s">
        <v>493</v>
      </c>
      <c r="D432" s="5" t="s">
        <v>49</v>
      </c>
      <c r="E432" s="5" t="s">
        <v>13</v>
      </c>
      <c r="F432" s="5" t="s">
        <v>28</v>
      </c>
      <c r="G432" s="6">
        <v>50400</v>
      </c>
      <c r="H432" s="427" t="str">
        <f>HYPERLINK("https://adv-map.ru/place/?LINK=bbfb56b6e276ff185f4477ba5e1f250f","Ссылка")</f>
        <v>Ссылка</v>
      </c>
      <c r="I432" s="5" t="s">
        <v>494</v>
      </c>
    </row>
    <row r="433" spans="1:9" s="4" customFormat="1" ht="38.1" customHeight="1" outlineLevel="1" x14ac:dyDescent="0.2">
      <c r="A433" s="5" t="s">
        <v>340</v>
      </c>
      <c r="B433" s="5" t="s">
        <v>354</v>
      </c>
      <c r="C433" s="5" t="s">
        <v>493</v>
      </c>
      <c r="D433" s="5" t="s">
        <v>49</v>
      </c>
      <c r="E433" s="5" t="s">
        <v>13</v>
      </c>
      <c r="F433" s="5" t="s">
        <v>30</v>
      </c>
      <c r="G433" s="6">
        <v>50400</v>
      </c>
      <c r="H433" s="428" t="str">
        <f>HYPERLINK("https://adv-map.ru/place/?LINK=70931ba3b6e160e8597e304df2f318d4","Ссылка")</f>
        <v>Ссылка</v>
      </c>
      <c r="I433" s="5" t="s">
        <v>494</v>
      </c>
    </row>
    <row r="434" spans="1:9" s="4" customFormat="1" ht="38.1" customHeight="1" outlineLevel="1" x14ac:dyDescent="0.2">
      <c r="A434" s="5" t="s">
        <v>340</v>
      </c>
      <c r="B434" s="5" t="s">
        <v>354</v>
      </c>
      <c r="C434" s="5" t="s">
        <v>493</v>
      </c>
      <c r="D434" s="5" t="s">
        <v>49</v>
      </c>
      <c r="E434" s="5" t="s">
        <v>13</v>
      </c>
      <c r="F434" s="5" t="s">
        <v>31</v>
      </c>
      <c r="G434" s="6">
        <v>50400</v>
      </c>
      <c r="H434" s="429" t="str">
        <f>HYPERLINK("https://adv-map.ru/place/?LINK=bab07b219dd9f7028506e52507924a94","Ссылка")</f>
        <v>Ссылка</v>
      </c>
      <c r="I434" s="5" t="s">
        <v>494</v>
      </c>
    </row>
    <row r="435" spans="1:9" s="4" customFormat="1" ht="38.1" customHeight="1" outlineLevel="1" x14ac:dyDescent="0.2">
      <c r="A435" s="5" t="s">
        <v>340</v>
      </c>
      <c r="B435" s="5" t="s">
        <v>354</v>
      </c>
      <c r="C435" s="5" t="s">
        <v>495</v>
      </c>
      <c r="D435" s="5" t="s">
        <v>12</v>
      </c>
      <c r="E435" s="5" t="s">
        <v>13</v>
      </c>
      <c r="F435" s="5" t="s">
        <v>16</v>
      </c>
      <c r="G435" s="6">
        <v>25200</v>
      </c>
      <c r="H435" s="430" t="str">
        <f>HYPERLINK("https://adv-map.ru/place/?LINK=7c904a551c46e42d4a52492b3f051ed4","Ссылка")</f>
        <v>Ссылка</v>
      </c>
      <c r="I435" s="5" t="s">
        <v>494</v>
      </c>
    </row>
    <row r="436" spans="1:9" s="4" customFormat="1" ht="38.1" customHeight="1" outlineLevel="1" x14ac:dyDescent="0.2">
      <c r="A436" s="5" t="s">
        <v>340</v>
      </c>
      <c r="B436" s="5" t="s">
        <v>354</v>
      </c>
      <c r="C436" s="5" t="s">
        <v>496</v>
      </c>
      <c r="D436" s="5" t="s">
        <v>347</v>
      </c>
      <c r="E436" s="5" t="s">
        <v>348</v>
      </c>
      <c r="F436" s="5" t="s">
        <v>14</v>
      </c>
      <c r="G436" s="6">
        <v>27720</v>
      </c>
      <c r="H436" s="431" t="str">
        <f>HYPERLINK("https://adv-map.ru/place/?LINK=387ac8ea91f82434eda899d206991006","Ссылка")</f>
        <v>Ссылка</v>
      </c>
      <c r="I436" s="5" t="s">
        <v>497</v>
      </c>
    </row>
    <row r="437" spans="1:9" s="4" customFormat="1" ht="38.1" customHeight="1" outlineLevel="1" x14ac:dyDescent="0.2">
      <c r="A437" s="5" t="s">
        <v>340</v>
      </c>
      <c r="B437" s="5" t="s">
        <v>354</v>
      </c>
      <c r="C437" s="5" t="s">
        <v>496</v>
      </c>
      <c r="D437" s="5" t="s">
        <v>347</v>
      </c>
      <c r="E437" s="5" t="s">
        <v>348</v>
      </c>
      <c r="F437" s="5" t="s">
        <v>16</v>
      </c>
      <c r="G437" s="6">
        <v>22680</v>
      </c>
      <c r="H437" s="432" t="str">
        <f>HYPERLINK("https://adv-map.ru/place/?LINK=5c25b181066428add2065c91656cad8b","Ссылка")</f>
        <v>Ссылка</v>
      </c>
      <c r="I437" s="5" t="s">
        <v>497</v>
      </c>
    </row>
    <row r="438" spans="1:9" s="4" customFormat="1" ht="38.1" customHeight="1" outlineLevel="1" x14ac:dyDescent="0.2">
      <c r="A438" s="5" t="s">
        <v>340</v>
      </c>
      <c r="B438" s="5" t="s">
        <v>354</v>
      </c>
      <c r="C438" s="5" t="s">
        <v>498</v>
      </c>
      <c r="D438" s="5" t="s">
        <v>49</v>
      </c>
      <c r="E438" s="5" t="s">
        <v>13</v>
      </c>
      <c r="F438" s="5" t="s">
        <v>28</v>
      </c>
      <c r="G438" s="6">
        <v>52500</v>
      </c>
      <c r="H438" s="433" t="str">
        <f>HYPERLINK("https://adv-map.ru/place/?LINK=f9ed4b4d1e846d1ac6258d764333400e","Ссылка")</f>
        <v>Ссылка</v>
      </c>
      <c r="I438" s="5" t="s">
        <v>499</v>
      </c>
    </row>
    <row r="439" spans="1:9" s="4" customFormat="1" ht="38.1" customHeight="1" outlineLevel="1" x14ac:dyDescent="0.2">
      <c r="A439" s="5" t="s">
        <v>340</v>
      </c>
      <c r="B439" s="5" t="s">
        <v>354</v>
      </c>
      <c r="C439" s="5" t="s">
        <v>500</v>
      </c>
      <c r="D439" s="5" t="s">
        <v>49</v>
      </c>
      <c r="E439" s="5" t="s">
        <v>13</v>
      </c>
      <c r="F439" s="5" t="s">
        <v>30</v>
      </c>
      <c r="G439" s="6">
        <v>52500</v>
      </c>
      <c r="H439" s="434" t="str">
        <f>HYPERLINK("https://adv-map.ru/place/?LINK=304ac81a81ae8e38a70e950642fed63c","Ссылка")</f>
        <v>Ссылка</v>
      </c>
      <c r="I439" s="5" t="s">
        <v>499</v>
      </c>
    </row>
    <row r="440" spans="1:9" s="4" customFormat="1" ht="38.1" customHeight="1" outlineLevel="1" x14ac:dyDescent="0.2">
      <c r="A440" s="5" t="s">
        <v>340</v>
      </c>
      <c r="B440" s="5" t="s">
        <v>354</v>
      </c>
      <c r="C440" s="5" t="s">
        <v>500</v>
      </c>
      <c r="D440" s="5" t="s">
        <v>49</v>
      </c>
      <c r="E440" s="5" t="s">
        <v>13</v>
      </c>
      <c r="F440" s="5" t="s">
        <v>31</v>
      </c>
      <c r="G440" s="6">
        <v>52500</v>
      </c>
      <c r="H440" s="435" t="str">
        <f>HYPERLINK("https://adv-map.ru/place/?LINK=86d173f3d547f2c22560ec4d8ee09a66","Ссылка")</f>
        <v>Ссылка</v>
      </c>
      <c r="I440" s="5" t="s">
        <v>499</v>
      </c>
    </row>
    <row r="441" spans="1:9" s="4" customFormat="1" ht="38.1" customHeight="1" outlineLevel="1" x14ac:dyDescent="0.2">
      <c r="A441" s="5" t="s">
        <v>340</v>
      </c>
      <c r="B441" s="5" t="s">
        <v>354</v>
      </c>
      <c r="C441" s="5" t="s">
        <v>500</v>
      </c>
      <c r="D441" s="5" t="s">
        <v>12</v>
      </c>
      <c r="E441" s="5" t="s">
        <v>13</v>
      </c>
      <c r="F441" s="5" t="s">
        <v>16</v>
      </c>
      <c r="G441" s="6">
        <v>31500</v>
      </c>
      <c r="H441" s="436" t="str">
        <f>HYPERLINK("https://adv-map.ru/place/?LINK=59f338f644a8c8d18446098dc8ff6762","Ссылка")</f>
        <v>Ссылка</v>
      </c>
      <c r="I441" s="5" t="s">
        <v>499</v>
      </c>
    </row>
    <row r="442" spans="1:9" s="4" customFormat="1" ht="38.1" customHeight="1" outlineLevel="1" x14ac:dyDescent="0.2">
      <c r="A442" s="5" t="s">
        <v>340</v>
      </c>
      <c r="B442" s="5" t="s">
        <v>354</v>
      </c>
      <c r="C442" s="5" t="s">
        <v>501</v>
      </c>
      <c r="D442" s="5" t="s">
        <v>49</v>
      </c>
      <c r="E442" s="5" t="s">
        <v>13</v>
      </c>
      <c r="F442" s="5" t="s">
        <v>28</v>
      </c>
      <c r="G442" s="6">
        <v>52500</v>
      </c>
      <c r="H442" s="437" t="str">
        <f>HYPERLINK("https://adv-map.ru/place/?LINK=072df5b8d331aa9bc8cfe9681feff58e","Ссылка")</f>
        <v>Ссылка</v>
      </c>
      <c r="I442" s="5" t="s">
        <v>502</v>
      </c>
    </row>
    <row r="443" spans="1:9" s="4" customFormat="1" ht="38.1" customHeight="1" outlineLevel="1" x14ac:dyDescent="0.2">
      <c r="A443" s="5" t="s">
        <v>340</v>
      </c>
      <c r="B443" s="5" t="s">
        <v>354</v>
      </c>
      <c r="C443" s="5" t="s">
        <v>501</v>
      </c>
      <c r="D443" s="5" t="s">
        <v>49</v>
      </c>
      <c r="E443" s="5" t="s">
        <v>13</v>
      </c>
      <c r="F443" s="5" t="s">
        <v>30</v>
      </c>
      <c r="G443" s="6">
        <v>52500</v>
      </c>
      <c r="H443" s="438" t="str">
        <f>HYPERLINK("https://adv-map.ru/place/?LINK=c6583fbca5a8afcf6a901e441368972b","Ссылка")</f>
        <v>Ссылка</v>
      </c>
      <c r="I443" s="5" t="s">
        <v>502</v>
      </c>
    </row>
    <row r="444" spans="1:9" s="4" customFormat="1" ht="38.1" customHeight="1" outlineLevel="1" x14ac:dyDescent="0.2">
      <c r="A444" s="5" t="s">
        <v>340</v>
      </c>
      <c r="B444" s="5" t="s">
        <v>354</v>
      </c>
      <c r="C444" s="5" t="s">
        <v>501</v>
      </c>
      <c r="D444" s="5" t="s">
        <v>49</v>
      </c>
      <c r="E444" s="5" t="s">
        <v>13</v>
      </c>
      <c r="F444" s="5" t="s">
        <v>31</v>
      </c>
      <c r="G444" s="6">
        <v>52500</v>
      </c>
      <c r="H444" s="439" t="str">
        <f>HYPERLINK("https://adv-map.ru/place/?LINK=94a43fac007a6cde7be7f0103c236784","Ссылка")</f>
        <v>Ссылка</v>
      </c>
      <c r="I444" s="5" t="s">
        <v>502</v>
      </c>
    </row>
    <row r="445" spans="1:9" s="4" customFormat="1" ht="38.1" customHeight="1" outlineLevel="1" x14ac:dyDescent="0.2">
      <c r="A445" s="5" t="s">
        <v>340</v>
      </c>
      <c r="B445" s="5" t="s">
        <v>354</v>
      </c>
      <c r="C445" s="5" t="s">
        <v>501</v>
      </c>
      <c r="D445" s="5" t="s">
        <v>12</v>
      </c>
      <c r="E445" s="5" t="s">
        <v>13</v>
      </c>
      <c r="F445" s="5" t="s">
        <v>16</v>
      </c>
      <c r="G445" s="6">
        <v>25200</v>
      </c>
      <c r="H445" s="440" t="str">
        <f>HYPERLINK("https://adv-map.ru/place/?LINK=a3451a8d79419a378190653ebcb85752","Ссылка")</f>
        <v>Ссылка</v>
      </c>
      <c r="I445" s="5" t="s">
        <v>502</v>
      </c>
    </row>
    <row r="446" spans="1:9" s="4" customFormat="1" ht="38.1" customHeight="1" outlineLevel="1" x14ac:dyDescent="0.2">
      <c r="A446" s="5" t="s">
        <v>340</v>
      </c>
      <c r="B446" s="5" t="s">
        <v>354</v>
      </c>
      <c r="C446" s="5" t="s">
        <v>503</v>
      </c>
      <c r="D446" s="5" t="s">
        <v>43</v>
      </c>
      <c r="E446" s="5" t="s">
        <v>504</v>
      </c>
      <c r="F446" s="5" t="s">
        <v>14</v>
      </c>
      <c r="G446" s="6">
        <v>46200</v>
      </c>
      <c r="H446" s="441" t="str">
        <f>HYPERLINK("https://adv-map.ru/place/?LINK=99a622bc82de49f05c809af394d9db72","Ссылка")</f>
        <v>Ссылка</v>
      </c>
      <c r="I446" s="5" t="s">
        <v>505</v>
      </c>
    </row>
    <row r="447" spans="1:9" s="4" customFormat="1" ht="38.1" customHeight="1" outlineLevel="1" x14ac:dyDescent="0.2">
      <c r="A447" s="5" t="s">
        <v>340</v>
      </c>
      <c r="B447" s="5" t="s">
        <v>354</v>
      </c>
      <c r="C447" s="5" t="s">
        <v>503</v>
      </c>
      <c r="D447" s="5" t="s">
        <v>43</v>
      </c>
      <c r="E447" s="5" t="s">
        <v>504</v>
      </c>
      <c r="F447" s="5" t="s">
        <v>16</v>
      </c>
      <c r="G447" s="6">
        <v>18900</v>
      </c>
      <c r="H447" s="442" t="str">
        <f>HYPERLINK("https://adv-map.ru/place/?LINK=2da319984e3306ff0266d267d36bd1de","Ссылка")</f>
        <v>Ссылка</v>
      </c>
      <c r="I447" s="5" t="s">
        <v>505</v>
      </c>
    </row>
    <row r="448" spans="1:9" s="4" customFormat="1" ht="38.1" customHeight="1" outlineLevel="1" x14ac:dyDescent="0.2">
      <c r="A448" s="5" t="s">
        <v>340</v>
      </c>
      <c r="B448" s="5" t="s">
        <v>354</v>
      </c>
      <c r="C448" s="5" t="s">
        <v>506</v>
      </c>
      <c r="D448" s="5" t="s">
        <v>49</v>
      </c>
      <c r="E448" s="5" t="s">
        <v>13</v>
      </c>
      <c r="F448" s="5" t="s">
        <v>28</v>
      </c>
      <c r="G448" s="6">
        <v>52500</v>
      </c>
      <c r="H448" s="443" t="str">
        <f>HYPERLINK("https://adv-map.ru/place/?LINK=a7c22b95f51fa8a9a047f21b19b809bd","Ссылка")</f>
        <v>Ссылка</v>
      </c>
      <c r="I448" s="5" t="s">
        <v>507</v>
      </c>
    </row>
    <row r="449" spans="1:9" s="4" customFormat="1" ht="38.1" customHeight="1" outlineLevel="1" x14ac:dyDescent="0.2">
      <c r="A449" s="5" t="s">
        <v>340</v>
      </c>
      <c r="B449" s="5" t="s">
        <v>354</v>
      </c>
      <c r="C449" s="5" t="s">
        <v>506</v>
      </c>
      <c r="D449" s="5" t="s">
        <v>49</v>
      </c>
      <c r="E449" s="5" t="s">
        <v>13</v>
      </c>
      <c r="F449" s="5" t="s">
        <v>30</v>
      </c>
      <c r="G449" s="6">
        <v>52500</v>
      </c>
      <c r="H449" s="444" t="str">
        <f>HYPERLINK("https://adv-map.ru/place/?LINK=5b4d5ebe510099d9ac01303553b1ed88","Ссылка")</f>
        <v>Ссылка</v>
      </c>
      <c r="I449" s="5" t="s">
        <v>507</v>
      </c>
    </row>
    <row r="450" spans="1:9" s="4" customFormat="1" ht="38.1" customHeight="1" outlineLevel="1" x14ac:dyDescent="0.2">
      <c r="A450" s="5" t="s">
        <v>340</v>
      </c>
      <c r="B450" s="5" t="s">
        <v>354</v>
      </c>
      <c r="C450" s="5" t="s">
        <v>506</v>
      </c>
      <c r="D450" s="5" t="s">
        <v>49</v>
      </c>
      <c r="E450" s="5" t="s">
        <v>13</v>
      </c>
      <c r="F450" s="5" t="s">
        <v>31</v>
      </c>
      <c r="G450" s="6">
        <v>52500</v>
      </c>
      <c r="H450" s="445" t="str">
        <f>HYPERLINK("https://adv-map.ru/place/?LINK=649a12f85f1235ec89d10240e24905f6","Ссылка")</f>
        <v>Ссылка</v>
      </c>
      <c r="I450" s="5" t="s">
        <v>507</v>
      </c>
    </row>
    <row r="451" spans="1:9" s="4" customFormat="1" ht="38.1" customHeight="1" outlineLevel="1" x14ac:dyDescent="0.2">
      <c r="A451" s="5" t="s">
        <v>340</v>
      </c>
      <c r="B451" s="5" t="s">
        <v>354</v>
      </c>
      <c r="C451" s="5" t="s">
        <v>508</v>
      </c>
      <c r="D451" s="5" t="s">
        <v>49</v>
      </c>
      <c r="E451" s="5" t="s">
        <v>13</v>
      </c>
      <c r="F451" s="5" t="s">
        <v>28</v>
      </c>
      <c r="G451" s="6">
        <v>52500</v>
      </c>
      <c r="H451" s="446" t="str">
        <f>HYPERLINK("https://adv-map.ru/place/?LINK=80e41fd5993df5706d28489f1a6fc88f","Ссылка")</f>
        <v>Ссылка</v>
      </c>
      <c r="I451" s="5" t="s">
        <v>509</v>
      </c>
    </row>
    <row r="452" spans="1:9" s="4" customFormat="1" ht="38.1" customHeight="1" outlineLevel="1" x14ac:dyDescent="0.2">
      <c r="A452" s="5" t="s">
        <v>340</v>
      </c>
      <c r="B452" s="5" t="s">
        <v>354</v>
      </c>
      <c r="C452" s="5" t="s">
        <v>508</v>
      </c>
      <c r="D452" s="5" t="s">
        <v>49</v>
      </c>
      <c r="E452" s="5" t="s">
        <v>13</v>
      </c>
      <c r="F452" s="5" t="s">
        <v>30</v>
      </c>
      <c r="G452" s="6">
        <v>52500</v>
      </c>
      <c r="H452" s="447" t="str">
        <f>HYPERLINK("https://adv-map.ru/place/?LINK=3c3416871ed9c0764148dfdb75ce4af5","Ссылка")</f>
        <v>Ссылка</v>
      </c>
      <c r="I452" s="5" t="s">
        <v>509</v>
      </c>
    </row>
    <row r="453" spans="1:9" s="4" customFormat="1" ht="38.1" customHeight="1" outlineLevel="1" x14ac:dyDescent="0.2">
      <c r="A453" s="5" t="s">
        <v>340</v>
      </c>
      <c r="B453" s="5" t="s">
        <v>354</v>
      </c>
      <c r="C453" s="5" t="s">
        <v>508</v>
      </c>
      <c r="D453" s="5" t="s">
        <v>49</v>
      </c>
      <c r="E453" s="5" t="s">
        <v>13</v>
      </c>
      <c r="F453" s="5" t="s">
        <v>31</v>
      </c>
      <c r="G453" s="6">
        <v>52500</v>
      </c>
      <c r="H453" s="448" t="str">
        <f>HYPERLINK("https://adv-map.ru/place/?LINK=53a0fdfa34669ee2b76402bf1bf620b0","Ссылка")</f>
        <v>Ссылка</v>
      </c>
      <c r="I453" s="5" t="s">
        <v>509</v>
      </c>
    </row>
    <row r="454" spans="1:9" s="4" customFormat="1" ht="38.1" customHeight="1" outlineLevel="1" x14ac:dyDescent="0.2">
      <c r="A454" s="5" t="s">
        <v>340</v>
      </c>
      <c r="B454" s="5" t="s">
        <v>354</v>
      </c>
      <c r="C454" s="5" t="s">
        <v>508</v>
      </c>
      <c r="D454" s="5" t="s">
        <v>12</v>
      </c>
      <c r="E454" s="5" t="s">
        <v>13</v>
      </c>
      <c r="F454" s="5" t="s">
        <v>16</v>
      </c>
      <c r="G454" s="6">
        <v>25200</v>
      </c>
      <c r="H454" s="449" t="str">
        <f>HYPERLINK("https://adv-map.ru/place/?LINK=f724aadacc4ca2b14101a87ab2223f50","Ссылка")</f>
        <v>Ссылка</v>
      </c>
      <c r="I454" s="5" t="s">
        <v>509</v>
      </c>
    </row>
    <row r="455" spans="1:9" s="4" customFormat="1" ht="38.1" customHeight="1" outlineLevel="1" x14ac:dyDescent="0.2">
      <c r="A455" s="5" t="s">
        <v>340</v>
      </c>
      <c r="B455" s="5" t="s">
        <v>354</v>
      </c>
      <c r="C455" s="5" t="s">
        <v>510</v>
      </c>
      <c r="D455" s="5" t="s">
        <v>49</v>
      </c>
      <c r="E455" s="5" t="s">
        <v>13</v>
      </c>
      <c r="F455" s="5" t="s">
        <v>28</v>
      </c>
      <c r="G455" s="6">
        <v>52500</v>
      </c>
      <c r="H455" s="450" t="str">
        <f>HYPERLINK("https://adv-map.ru/place/?LINK=721d32a71895d531c7ec47a5091f4363","Ссылка")</f>
        <v>Ссылка</v>
      </c>
      <c r="I455" s="5" t="s">
        <v>511</v>
      </c>
    </row>
    <row r="456" spans="1:9" s="4" customFormat="1" ht="38.1" customHeight="1" outlineLevel="1" x14ac:dyDescent="0.2">
      <c r="A456" s="5" t="s">
        <v>340</v>
      </c>
      <c r="B456" s="5" t="s">
        <v>354</v>
      </c>
      <c r="C456" s="5" t="s">
        <v>510</v>
      </c>
      <c r="D456" s="5" t="s">
        <v>49</v>
      </c>
      <c r="E456" s="5" t="s">
        <v>13</v>
      </c>
      <c r="F456" s="5" t="s">
        <v>30</v>
      </c>
      <c r="G456" s="6">
        <v>52500</v>
      </c>
      <c r="H456" s="451" t="str">
        <f>HYPERLINK("https://adv-map.ru/place/?LINK=a8ccd7ea9bbadb402174025ef8f031be","Ссылка")</f>
        <v>Ссылка</v>
      </c>
      <c r="I456" s="5" t="s">
        <v>511</v>
      </c>
    </row>
    <row r="457" spans="1:9" s="4" customFormat="1" ht="38.1" customHeight="1" outlineLevel="1" x14ac:dyDescent="0.2">
      <c r="A457" s="5" t="s">
        <v>340</v>
      </c>
      <c r="B457" s="5" t="s">
        <v>354</v>
      </c>
      <c r="C457" s="5" t="s">
        <v>510</v>
      </c>
      <c r="D457" s="5" t="s">
        <v>49</v>
      </c>
      <c r="E457" s="5" t="s">
        <v>13</v>
      </c>
      <c r="F457" s="5" t="s">
        <v>31</v>
      </c>
      <c r="G457" s="6">
        <v>52500</v>
      </c>
      <c r="H457" s="452" t="str">
        <f>HYPERLINK("https://adv-map.ru/place/?LINK=44295289cc85769c9251c367f1989758","Ссылка")</f>
        <v>Ссылка</v>
      </c>
      <c r="I457" s="5" t="s">
        <v>511</v>
      </c>
    </row>
    <row r="458" spans="1:9" s="4" customFormat="1" ht="38.1" customHeight="1" outlineLevel="1" x14ac:dyDescent="0.2">
      <c r="A458" s="5" t="s">
        <v>340</v>
      </c>
      <c r="B458" s="5" t="s">
        <v>354</v>
      </c>
      <c r="C458" s="5" t="s">
        <v>510</v>
      </c>
      <c r="D458" s="5" t="s">
        <v>12</v>
      </c>
      <c r="E458" s="5" t="s">
        <v>13</v>
      </c>
      <c r="F458" s="5" t="s">
        <v>16</v>
      </c>
      <c r="G458" s="6">
        <v>31500</v>
      </c>
      <c r="H458" s="453" t="str">
        <f>HYPERLINK("https://adv-map.ru/place/?LINK=ee37ce97f6f543faa2975a53e1184118","Ссылка")</f>
        <v>Ссылка</v>
      </c>
      <c r="I458" s="5" t="s">
        <v>512</v>
      </c>
    </row>
    <row r="459" spans="1:9" s="4" customFormat="1" ht="38.1" customHeight="1" outlineLevel="1" x14ac:dyDescent="0.2">
      <c r="A459" s="5" t="s">
        <v>340</v>
      </c>
      <c r="B459" s="5" t="s">
        <v>354</v>
      </c>
      <c r="C459" s="5" t="s">
        <v>513</v>
      </c>
      <c r="D459" s="5" t="s">
        <v>49</v>
      </c>
      <c r="E459" s="5" t="s">
        <v>13</v>
      </c>
      <c r="F459" s="5" t="s">
        <v>28</v>
      </c>
      <c r="G459" s="6">
        <v>50400</v>
      </c>
      <c r="H459" s="454" t="str">
        <f>HYPERLINK("https://adv-map.ru/place/?LINK=59e1ef73fca6ad3a4f1295cba5063c94","Ссылка")</f>
        <v>Ссылка</v>
      </c>
      <c r="I459" s="5" t="s">
        <v>514</v>
      </c>
    </row>
    <row r="460" spans="1:9" s="4" customFormat="1" ht="38.1" customHeight="1" outlineLevel="1" x14ac:dyDescent="0.2">
      <c r="A460" s="5" t="s">
        <v>340</v>
      </c>
      <c r="B460" s="5" t="s">
        <v>354</v>
      </c>
      <c r="C460" s="5" t="s">
        <v>513</v>
      </c>
      <c r="D460" s="5" t="s">
        <v>49</v>
      </c>
      <c r="E460" s="5" t="s">
        <v>13</v>
      </c>
      <c r="F460" s="5" t="s">
        <v>30</v>
      </c>
      <c r="G460" s="6">
        <v>50400</v>
      </c>
      <c r="H460" s="455" t="str">
        <f>HYPERLINK("https://adv-map.ru/place/?LINK=90cfb5c12ec1b9238d4f775ff4245cb2","Ссылка")</f>
        <v>Ссылка</v>
      </c>
      <c r="I460" s="5" t="s">
        <v>514</v>
      </c>
    </row>
    <row r="461" spans="1:9" s="4" customFormat="1" ht="38.1" customHeight="1" outlineLevel="1" x14ac:dyDescent="0.2">
      <c r="A461" s="5" t="s">
        <v>340</v>
      </c>
      <c r="B461" s="5" t="s">
        <v>354</v>
      </c>
      <c r="C461" s="5" t="s">
        <v>513</v>
      </c>
      <c r="D461" s="5" t="s">
        <v>49</v>
      </c>
      <c r="E461" s="5" t="s">
        <v>13</v>
      </c>
      <c r="F461" s="5" t="s">
        <v>31</v>
      </c>
      <c r="G461" s="6">
        <v>50400</v>
      </c>
      <c r="H461" s="456" t="str">
        <f>HYPERLINK("https://adv-map.ru/place/?LINK=185da34bb97d1f79fca21da0ef0ed9ff","Ссылка")</f>
        <v>Ссылка</v>
      </c>
      <c r="I461" s="5" t="s">
        <v>514</v>
      </c>
    </row>
    <row r="462" spans="1:9" s="4" customFormat="1" ht="38.1" customHeight="1" outlineLevel="1" x14ac:dyDescent="0.2">
      <c r="A462" s="5" t="s">
        <v>340</v>
      </c>
      <c r="B462" s="5" t="s">
        <v>354</v>
      </c>
      <c r="C462" s="5" t="s">
        <v>513</v>
      </c>
      <c r="D462" s="5" t="s">
        <v>12</v>
      </c>
      <c r="E462" s="5" t="s">
        <v>13</v>
      </c>
      <c r="F462" s="5" t="s">
        <v>16</v>
      </c>
      <c r="G462" s="6">
        <v>37800</v>
      </c>
      <c r="H462" s="457" t="str">
        <f>HYPERLINK("https://adv-map.ru/place/?LINK=644e691f0efc206ae8889afa0a5aad39","Ссылка")</f>
        <v>Ссылка</v>
      </c>
      <c r="I462" s="5" t="s">
        <v>514</v>
      </c>
    </row>
    <row r="463" spans="1:9" s="4" customFormat="1" ht="38.1" customHeight="1" outlineLevel="1" x14ac:dyDescent="0.2">
      <c r="A463" s="5" t="s">
        <v>340</v>
      </c>
      <c r="B463" s="5" t="s">
        <v>354</v>
      </c>
      <c r="C463" s="5" t="s">
        <v>515</v>
      </c>
      <c r="D463" s="5" t="s">
        <v>49</v>
      </c>
      <c r="E463" s="5" t="s">
        <v>13</v>
      </c>
      <c r="F463" s="5" t="s">
        <v>28</v>
      </c>
      <c r="G463" s="6">
        <v>50400</v>
      </c>
      <c r="H463" s="458" t="str">
        <f>HYPERLINK("https://adv-map.ru/place/?LINK=003c4ff2918b061190c508ed12824e21","Ссылка")</f>
        <v>Ссылка</v>
      </c>
      <c r="I463" s="5" t="s">
        <v>516</v>
      </c>
    </row>
    <row r="464" spans="1:9" s="4" customFormat="1" ht="38.1" customHeight="1" outlineLevel="1" x14ac:dyDescent="0.2">
      <c r="A464" s="5" t="s">
        <v>340</v>
      </c>
      <c r="B464" s="5" t="s">
        <v>354</v>
      </c>
      <c r="C464" s="5" t="s">
        <v>515</v>
      </c>
      <c r="D464" s="5" t="s">
        <v>49</v>
      </c>
      <c r="E464" s="5" t="s">
        <v>13</v>
      </c>
      <c r="F464" s="5" t="s">
        <v>30</v>
      </c>
      <c r="G464" s="6">
        <v>50400</v>
      </c>
      <c r="H464" s="459" t="str">
        <f>HYPERLINK("https://adv-map.ru/place/?LINK=b85dd2c1450f8341a1250c87bce895f4","Ссылка")</f>
        <v>Ссылка</v>
      </c>
      <c r="I464" s="5" t="s">
        <v>516</v>
      </c>
    </row>
    <row r="465" spans="1:9" s="4" customFormat="1" ht="38.1" customHeight="1" outlineLevel="1" x14ac:dyDescent="0.2">
      <c r="A465" s="5" t="s">
        <v>340</v>
      </c>
      <c r="B465" s="5" t="s">
        <v>354</v>
      </c>
      <c r="C465" s="5" t="s">
        <v>515</v>
      </c>
      <c r="D465" s="5" t="s">
        <v>49</v>
      </c>
      <c r="E465" s="5" t="s">
        <v>13</v>
      </c>
      <c r="F465" s="5" t="s">
        <v>31</v>
      </c>
      <c r="G465" s="6">
        <v>50400</v>
      </c>
      <c r="H465" s="460" t="str">
        <f>HYPERLINK("https://adv-map.ru/place/?LINK=c6a53c558bc2f25e6ca63ec0a4d2b93e","Ссылка")</f>
        <v>Ссылка</v>
      </c>
      <c r="I465" s="5" t="s">
        <v>516</v>
      </c>
    </row>
    <row r="466" spans="1:9" s="4" customFormat="1" ht="38.1" customHeight="1" outlineLevel="1" x14ac:dyDescent="0.2">
      <c r="A466" s="5" t="s">
        <v>340</v>
      </c>
      <c r="B466" s="5" t="s">
        <v>354</v>
      </c>
      <c r="C466" s="5" t="s">
        <v>515</v>
      </c>
      <c r="D466" s="5" t="s">
        <v>12</v>
      </c>
      <c r="E466" s="5" t="s">
        <v>13</v>
      </c>
      <c r="F466" s="5" t="s">
        <v>16</v>
      </c>
      <c r="G466" s="6">
        <v>25200</v>
      </c>
      <c r="H466" s="461" t="str">
        <f>HYPERLINK("https://adv-map.ru/place/?LINK=c9f2173ae798574a998c97bafb02e090","Ссылка")</f>
        <v>Ссылка</v>
      </c>
      <c r="I466" s="5" t="s">
        <v>516</v>
      </c>
    </row>
    <row r="467" spans="1:9" s="4" customFormat="1" ht="38.1" customHeight="1" outlineLevel="1" x14ac:dyDescent="0.2">
      <c r="A467" s="5" t="s">
        <v>340</v>
      </c>
      <c r="B467" s="5" t="s">
        <v>354</v>
      </c>
      <c r="C467" s="5" t="s">
        <v>517</v>
      </c>
      <c r="D467" s="5" t="s">
        <v>351</v>
      </c>
      <c r="E467" s="5" t="s">
        <v>352</v>
      </c>
      <c r="F467" s="5" t="s">
        <v>14</v>
      </c>
      <c r="G467" s="6">
        <v>147000</v>
      </c>
      <c r="H467" s="462" t="str">
        <f>HYPERLINK("https://adv-map.ru/place/?LINK=7f01dd5dc6046ba00ac1039ce06e589d","Ссылка")</f>
        <v>Ссылка</v>
      </c>
      <c r="I467" s="5" t="s">
        <v>518</v>
      </c>
    </row>
    <row r="468" spans="1:9" s="4" customFormat="1" ht="38.1" customHeight="1" outlineLevel="1" x14ac:dyDescent="0.2">
      <c r="A468" s="5" t="s">
        <v>340</v>
      </c>
      <c r="B468" s="5" t="s">
        <v>354</v>
      </c>
      <c r="C468" s="5" t="s">
        <v>519</v>
      </c>
      <c r="D468" s="5" t="s">
        <v>351</v>
      </c>
      <c r="E468" s="5" t="s">
        <v>352</v>
      </c>
      <c r="F468" s="5" t="s">
        <v>16</v>
      </c>
      <c r="G468" s="6">
        <v>147000</v>
      </c>
      <c r="H468" s="463" t="str">
        <f>HYPERLINK("https://adv-map.ru/place/?LINK=5d4627edb5609e01f3b407d437c0a666","Ссылка")</f>
        <v>Ссылка</v>
      </c>
      <c r="I468" s="5" t="s">
        <v>518</v>
      </c>
    </row>
    <row r="469" spans="1:9" s="4" customFormat="1" ht="38.1" customHeight="1" outlineLevel="1" x14ac:dyDescent="0.2">
      <c r="A469" s="5" t="s">
        <v>340</v>
      </c>
      <c r="B469" s="5" t="s">
        <v>354</v>
      </c>
      <c r="C469" s="5" t="s">
        <v>520</v>
      </c>
      <c r="D469" s="5" t="s">
        <v>49</v>
      </c>
      <c r="E469" s="5" t="s">
        <v>13</v>
      </c>
      <c r="F469" s="5" t="s">
        <v>28</v>
      </c>
      <c r="G469" s="6">
        <v>50400</v>
      </c>
      <c r="H469" s="464" t="str">
        <f>HYPERLINK("https://adv-map.ru/place/?LINK=4f443c7438221e4a0dbe4ec3a9ffb4a3","Ссылка")</f>
        <v>Ссылка</v>
      </c>
      <c r="I469" s="5" t="s">
        <v>521</v>
      </c>
    </row>
    <row r="470" spans="1:9" s="4" customFormat="1" ht="38.1" customHeight="1" outlineLevel="1" x14ac:dyDescent="0.2">
      <c r="A470" s="5" t="s">
        <v>340</v>
      </c>
      <c r="B470" s="5" t="s">
        <v>354</v>
      </c>
      <c r="C470" s="5" t="s">
        <v>520</v>
      </c>
      <c r="D470" s="5" t="s">
        <v>49</v>
      </c>
      <c r="E470" s="5" t="s">
        <v>13</v>
      </c>
      <c r="F470" s="5" t="s">
        <v>30</v>
      </c>
      <c r="G470" s="6">
        <v>50400</v>
      </c>
      <c r="H470" s="465" t="str">
        <f>HYPERLINK("https://adv-map.ru/place/?LINK=8bb70d0fb9839ce03f0de4d9118ae144","Ссылка")</f>
        <v>Ссылка</v>
      </c>
      <c r="I470" s="5" t="s">
        <v>521</v>
      </c>
    </row>
    <row r="471" spans="1:9" s="4" customFormat="1" ht="38.1" customHeight="1" outlineLevel="1" x14ac:dyDescent="0.2">
      <c r="A471" s="5" t="s">
        <v>340</v>
      </c>
      <c r="B471" s="5" t="s">
        <v>354</v>
      </c>
      <c r="C471" s="5" t="s">
        <v>520</v>
      </c>
      <c r="D471" s="5" t="s">
        <v>49</v>
      </c>
      <c r="E471" s="5" t="s">
        <v>13</v>
      </c>
      <c r="F471" s="5" t="s">
        <v>31</v>
      </c>
      <c r="G471" s="6">
        <v>50400</v>
      </c>
      <c r="H471" s="466" t="str">
        <f>HYPERLINK("https://adv-map.ru/place/?LINK=a5f0d1fac3b615213cf1e407edf00cae","Ссылка")</f>
        <v>Ссылка</v>
      </c>
      <c r="I471" s="5" t="s">
        <v>521</v>
      </c>
    </row>
    <row r="472" spans="1:9" s="4" customFormat="1" ht="38.1" customHeight="1" outlineLevel="1" x14ac:dyDescent="0.2">
      <c r="A472" s="5" t="s">
        <v>340</v>
      </c>
      <c r="B472" s="5" t="s">
        <v>354</v>
      </c>
      <c r="C472" s="5" t="s">
        <v>520</v>
      </c>
      <c r="D472" s="5" t="s">
        <v>12</v>
      </c>
      <c r="E472" s="5" t="s">
        <v>13</v>
      </c>
      <c r="F472" s="5" t="s">
        <v>16</v>
      </c>
      <c r="G472" s="6">
        <v>31500</v>
      </c>
      <c r="H472" s="467" t="str">
        <f>HYPERLINK("https://adv-map.ru/place/?LINK=97bdf636d5b118b888519723004d341f","Ссылка")</f>
        <v>Ссылка</v>
      </c>
      <c r="I472" s="5" t="s">
        <v>521</v>
      </c>
    </row>
    <row r="473" spans="1:9" s="4" customFormat="1" ht="38.1" customHeight="1" outlineLevel="1" x14ac:dyDescent="0.2">
      <c r="A473" s="5" t="s">
        <v>340</v>
      </c>
      <c r="B473" s="5" t="s">
        <v>354</v>
      </c>
      <c r="C473" s="5" t="s">
        <v>522</v>
      </c>
      <c r="D473" s="5" t="s">
        <v>12</v>
      </c>
      <c r="E473" s="5" t="s">
        <v>13</v>
      </c>
      <c r="F473" s="5" t="s">
        <v>14</v>
      </c>
      <c r="G473" s="6">
        <v>42000</v>
      </c>
      <c r="H473" s="468" t="str">
        <f>HYPERLINK("https://adv-map.ru/place/?LINK=0d12f2434b256345d5f4bbd85710404d","Ссылка")</f>
        <v>Ссылка</v>
      </c>
      <c r="I473" s="5" t="s">
        <v>523</v>
      </c>
    </row>
    <row r="474" spans="1:9" s="4" customFormat="1" ht="38.1" customHeight="1" outlineLevel="1" x14ac:dyDescent="0.2">
      <c r="A474" s="5" t="s">
        <v>340</v>
      </c>
      <c r="B474" s="5" t="s">
        <v>354</v>
      </c>
      <c r="C474" s="5" t="s">
        <v>522</v>
      </c>
      <c r="D474" s="5" t="s">
        <v>12</v>
      </c>
      <c r="E474" s="5" t="s">
        <v>13</v>
      </c>
      <c r="F474" s="5" t="s">
        <v>16</v>
      </c>
      <c r="G474" s="6">
        <v>25200</v>
      </c>
      <c r="H474" s="469" t="str">
        <f>HYPERLINK("https://adv-map.ru/place/?LINK=a126c3fcfae78d7a9ca4e414ac93ceed","Ссылка")</f>
        <v>Ссылка</v>
      </c>
      <c r="I474" s="5" t="s">
        <v>523</v>
      </c>
    </row>
    <row r="475" spans="1:9" s="4" customFormat="1" ht="38.1" customHeight="1" outlineLevel="1" x14ac:dyDescent="0.2">
      <c r="A475" s="5" t="s">
        <v>340</v>
      </c>
      <c r="B475" s="5" t="s">
        <v>354</v>
      </c>
      <c r="C475" s="5" t="s">
        <v>524</v>
      </c>
      <c r="D475" s="5" t="s">
        <v>49</v>
      </c>
      <c r="E475" s="5" t="s">
        <v>13</v>
      </c>
      <c r="F475" s="5" t="s">
        <v>28</v>
      </c>
      <c r="G475" s="6">
        <v>50400</v>
      </c>
      <c r="H475" s="470" t="str">
        <f>HYPERLINK("https://adv-map.ru/place/?LINK=3ecc0f461c40418bbbda7c8aaaba179b","Ссылка")</f>
        <v>Ссылка</v>
      </c>
      <c r="I475" s="5" t="s">
        <v>525</v>
      </c>
    </row>
    <row r="476" spans="1:9" s="4" customFormat="1" ht="38.1" customHeight="1" outlineLevel="1" x14ac:dyDescent="0.2">
      <c r="A476" s="5" t="s">
        <v>340</v>
      </c>
      <c r="B476" s="5" t="s">
        <v>354</v>
      </c>
      <c r="C476" s="5" t="s">
        <v>524</v>
      </c>
      <c r="D476" s="5" t="s">
        <v>49</v>
      </c>
      <c r="E476" s="5" t="s">
        <v>13</v>
      </c>
      <c r="F476" s="5" t="s">
        <v>30</v>
      </c>
      <c r="G476" s="6">
        <v>50400</v>
      </c>
      <c r="H476" s="471" t="str">
        <f>HYPERLINK("https://adv-map.ru/place/?LINK=4591b71adebff4a29bd2d2f550dacd44","Ссылка")</f>
        <v>Ссылка</v>
      </c>
      <c r="I476" s="5" t="s">
        <v>525</v>
      </c>
    </row>
    <row r="477" spans="1:9" s="4" customFormat="1" ht="38.1" customHeight="1" outlineLevel="1" x14ac:dyDescent="0.2">
      <c r="A477" s="5" t="s">
        <v>340</v>
      </c>
      <c r="B477" s="5" t="s">
        <v>354</v>
      </c>
      <c r="C477" s="5" t="s">
        <v>524</v>
      </c>
      <c r="D477" s="5" t="s">
        <v>49</v>
      </c>
      <c r="E477" s="5" t="s">
        <v>13</v>
      </c>
      <c r="F477" s="5" t="s">
        <v>31</v>
      </c>
      <c r="G477" s="6">
        <v>50400</v>
      </c>
      <c r="H477" s="472" t="str">
        <f>HYPERLINK("https://adv-map.ru/place/?LINK=c46102d441a9cd130213c2e51e96082a","Ссылка")</f>
        <v>Ссылка</v>
      </c>
      <c r="I477" s="5" t="s">
        <v>525</v>
      </c>
    </row>
    <row r="478" spans="1:9" s="4" customFormat="1" ht="38.1" customHeight="1" outlineLevel="1" x14ac:dyDescent="0.2">
      <c r="A478" s="5" t="s">
        <v>340</v>
      </c>
      <c r="B478" s="5" t="s">
        <v>354</v>
      </c>
      <c r="C478" s="5" t="s">
        <v>524</v>
      </c>
      <c r="D478" s="5" t="s">
        <v>12</v>
      </c>
      <c r="E478" s="5" t="s">
        <v>13</v>
      </c>
      <c r="F478" s="5" t="s">
        <v>16</v>
      </c>
      <c r="G478" s="6">
        <v>25200</v>
      </c>
      <c r="H478" s="473" t="str">
        <f>HYPERLINK("https://adv-map.ru/place/?LINK=ed9ff31a7e96c4762c7581781376d5f9","Ссылка")</f>
        <v>Ссылка</v>
      </c>
      <c r="I478" s="5" t="s">
        <v>525</v>
      </c>
    </row>
    <row r="479" spans="1:9" s="4" customFormat="1" ht="38.1" customHeight="1" outlineLevel="1" x14ac:dyDescent="0.2">
      <c r="A479" s="5" t="s">
        <v>340</v>
      </c>
      <c r="B479" s="5" t="s">
        <v>354</v>
      </c>
      <c r="C479" s="5" t="s">
        <v>526</v>
      </c>
      <c r="D479" s="5" t="s">
        <v>49</v>
      </c>
      <c r="E479" s="5" t="s">
        <v>13</v>
      </c>
      <c r="F479" s="5" t="s">
        <v>28</v>
      </c>
      <c r="G479" s="6">
        <v>52500</v>
      </c>
      <c r="H479" s="474" t="str">
        <f>HYPERLINK("https://adv-map.ru/place/?LINK=2e7b655a9f636eb7de899278d67c5292","Ссылка")</f>
        <v>Ссылка</v>
      </c>
      <c r="I479" s="5" t="s">
        <v>527</v>
      </c>
    </row>
    <row r="480" spans="1:9" s="4" customFormat="1" ht="38.1" customHeight="1" outlineLevel="1" x14ac:dyDescent="0.2">
      <c r="A480" s="5" t="s">
        <v>340</v>
      </c>
      <c r="B480" s="5" t="s">
        <v>354</v>
      </c>
      <c r="C480" s="5" t="s">
        <v>526</v>
      </c>
      <c r="D480" s="5" t="s">
        <v>49</v>
      </c>
      <c r="E480" s="5" t="s">
        <v>13</v>
      </c>
      <c r="F480" s="5" t="s">
        <v>30</v>
      </c>
      <c r="G480" s="6">
        <v>52500</v>
      </c>
      <c r="H480" s="475" t="str">
        <f>HYPERLINK("https://adv-map.ru/place/?LINK=60dd459403b0c6868527f818d31ba160","Ссылка")</f>
        <v>Ссылка</v>
      </c>
      <c r="I480" s="5" t="s">
        <v>527</v>
      </c>
    </row>
    <row r="481" spans="1:9" s="4" customFormat="1" ht="38.1" customHeight="1" outlineLevel="1" x14ac:dyDescent="0.2">
      <c r="A481" s="5" t="s">
        <v>340</v>
      </c>
      <c r="B481" s="5" t="s">
        <v>354</v>
      </c>
      <c r="C481" s="5" t="s">
        <v>526</v>
      </c>
      <c r="D481" s="5" t="s">
        <v>49</v>
      </c>
      <c r="E481" s="5" t="s">
        <v>13</v>
      </c>
      <c r="F481" s="5" t="s">
        <v>31</v>
      </c>
      <c r="G481" s="6">
        <v>52500</v>
      </c>
      <c r="H481" s="476" t="str">
        <f>HYPERLINK("https://adv-map.ru/place/?LINK=a4616367854b0ebd721d42c82f4d8d38","Ссылка")</f>
        <v>Ссылка</v>
      </c>
      <c r="I481" s="5" t="s">
        <v>527</v>
      </c>
    </row>
    <row r="482" spans="1:9" s="4" customFormat="1" ht="51" customHeight="1" outlineLevel="1" x14ac:dyDescent="0.2">
      <c r="A482" s="5" t="s">
        <v>340</v>
      </c>
      <c r="B482" s="5" t="s">
        <v>354</v>
      </c>
      <c r="C482" s="5" t="s">
        <v>526</v>
      </c>
      <c r="D482" s="5" t="s">
        <v>12</v>
      </c>
      <c r="E482" s="5" t="s">
        <v>13</v>
      </c>
      <c r="F482" s="5" t="s">
        <v>16</v>
      </c>
      <c r="G482" s="6">
        <v>25200</v>
      </c>
      <c r="H482" s="477" t="str">
        <f>HYPERLINK("https://adv-map.ru/place/?LINK=29d28869f58920359b1ad8e7be109e93","Ссылка")</f>
        <v>Ссылка</v>
      </c>
      <c r="I482" s="5" t="s">
        <v>527</v>
      </c>
    </row>
    <row r="483" spans="1:9" s="4" customFormat="1" ht="38.1" customHeight="1" outlineLevel="1" x14ac:dyDescent="0.2">
      <c r="A483" s="5" t="s">
        <v>340</v>
      </c>
      <c r="B483" s="5" t="s">
        <v>354</v>
      </c>
      <c r="C483" s="5" t="s">
        <v>528</v>
      </c>
      <c r="D483" s="5" t="s">
        <v>347</v>
      </c>
      <c r="E483" s="5" t="s">
        <v>348</v>
      </c>
      <c r="F483" s="5" t="s">
        <v>14</v>
      </c>
      <c r="G483" s="6">
        <v>27720</v>
      </c>
      <c r="H483" s="478" t="str">
        <f>HYPERLINK("https://adv-map.ru/place/?LINK=0e5c434a2cc3285eef8dbb2bbf9ccb69","Ссылка")</f>
        <v>Ссылка</v>
      </c>
      <c r="I483" s="5" t="s">
        <v>529</v>
      </c>
    </row>
    <row r="484" spans="1:9" s="4" customFormat="1" ht="38.1" customHeight="1" outlineLevel="1" x14ac:dyDescent="0.2">
      <c r="A484" s="5" t="s">
        <v>340</v>
      </c>
      <c r="B484" s="5" t="s">
        <v>354</v>
      </c>
      <c r="C484" s="5" t="s">
        <v>528</v>
      </c>
      <c r="D484" s="5" t="s">
        <v>347</v>
      </c>
      <c r="E484" s="5" t="s">
        <v>348</v>
      </c>
      <c r="F484" s="5" t="s">
        <v>16</v>
      </c>
      <c r="G484" s="6">
        <v>22680</v>
      </c>
      <c r="H484" s="479" t="str">
        <f>HYPERLINK("https://adv-map.ru/place/?LINK=eda941c22721ccddb1c8c07f20ed6573","Ссылка")</f>
        <v>Ссылка</v>
      </c>
      <c r="I484" s="5" t="s">
        <v>529</v>
      </c>
    </row>
    <row r="485" spans="1:9" s="4" customFormat="1" ht="38.1" customHeight="1" outlineLevel="1" x14ac:dyDescent="0.2">
      <c r="A485" s="5" t="s">
        <v>340</v>
      </c>
      <c r="B485" s="5" t="s">
        <v>354</v>
      </c>
      <c r="C485" s="5" t="s">
        <v>530</v>
      </c>
      <c r="D485" s="5" t="s">
        <v>12</v>
      </c>
      <c r="E485" s="5" t="s">
        <v>13</v>
      </c>
      <c r="F485" s="5" t="s">
        <v>14</v>
      </c>
      <c r="G485" s="6">
        <v>46200</v>
      </c>
      <c r="H485" s="480" t="str">
        <f>HYPERLINK("https://adv-map.ru/place/?LINK=2b7203c25d624bb33c2fd7d8eb5900f1","Ссылка")</f>
        <v>Ссылка</v>
      </c>
      <c r="I485" s="5" t="s">
        <v>531</v>
      </c>
    </row>
    <row r="486" spans="1:9" s="4" customFormat="1" ht="51" customHeight="1" outlineLevel="1" x14ac:dyDescent="0.2">
      <c r="A486" s="5" t="s">
        <v>340</v>
      </c>
      <c r="B486" s="5" t="s">
        <v>354</v>
      </c>
      <c r="C486" s="5" t="s">
        <v>530</v>
      </c>
      <c r="D486" s="5" t="s">
        <v>12</v>
      </c>
      <c r="E486" s="5" t="s">
        <v>13</v>
      </c>
      <c r="F486" s="5" t="s">
        <v>16</v>
      </c>
      <c r="G486" s="6">
        <v>25200</v>
      </c>
      <c r="H486" s="481" t="str">
        <f>HYPERLINK("https://adv-map.ru/place/?LINK=46b657e5a1231ad710a77077236eb669","Ссылка")</f>
        <v>Ссылка</v>
      </c>
      <c r="I486" s="5" t="s">
        <v>531</v>
      </c>
    </row>
    <row r="487" spans="1:9" s="4" customFormat="1" ht="38.1" customHeight="1" outlineLevel="1" x14ac:dyDescent="0.2">
      <c r="A487" s="5" t="s">
        <v>340</v>
      </c>
      <c r="B487" s="5" t="s">
        <v>354</v>
      </c>
      <c r="C487" s="5" t="s">
        <v>532</v>
      </c>
      <c r="D487" s="5" t="s">
        <v>347</v>
      </c>
      <c r="E487" s="5" t="s">
        <v>348</v>
      </c>
      <c r="F487" s="5" t="s">
        <v>14</v>
      </c>
      <c r="G487" s="6">
        <v>27720</v>
      </c>
      <c r="H487" s="482" t="str">
        <f>HYPERLINK("https://adv-map.ru/place/?LINK=2c9a4bc3ca7f6f8ddddf014b4a3b1a8a","Ссылка")</f>
        <v>Ссылка</v>
      </c>
      <c r="I487" s="5" t="s">
        <v>533</v>
      </c>
    </row>
    <row r="488" spans="1:9" s="4" customFormat="1" ht="38.1" customHeight="1" outlineLevel="1" x14ac:dyDescent="0.2">
      <c r="A488" s="5" t="s">
        <v>340</v>
      </c>
      <c r="B488" s="5" t="s">
        <v>354</v>
      </c>
      <c r="C488" s="5" t="s">
        <v>532</v>
      </c>
      <c r="D488" s="5" t="s">
        <v>347</v>
      </c>
      <c r="E488" s="5" t="s">
        <v>348</v>
      </c>
      <c r="F488" s="5" t="s">
        <v>16</v>
      </c>
      <c r="G488" s="6">
        <v>22680</v>
      </c>
      <c r="H488" s="483" t="str">
        <f>HYPERLINK("https://adv-map.ru/place/?LINK=a74721060ad4d7cf3c5ac82d3808a075","Ссылка")</f>
        <v>Ссылка</v>
      </c>
      <c r="I488" s="5" t="s">
        <v>534</v>
      </c>
    </row>
    <row r="489" spans="1:9" s="4" customFormat="1" ht="51" customHeight="1" outlineLevel="1" x14ac:dyDescent="0.2">
      <c r="A489" s="5" t="s">
        <v>340</v>
      </c>
      <c r="B489" s="5" t="s">
        <v>354</v>
      </c>
      <c r="C489" s="5" t="s">
        <v>535</v>
      </c>
      <c r="D489" s="5" t="s">
        <v>347</v>
      </c>
      <c r="E489" s="5" t="s">
        <v>348</v>
      </c>
      <c r="F489" s="5" t="s">
        <v>14</v>
      </c>
      <c r="G489" s="6">
        <v>27720</v>
      </c>
      <c r="H489" s="484" t="str">
        <f>HYPERLINK("https://adv-map.ru/place/?LINK=f1696d6d1e313343074e00ddaea06a16","Ссылка")</f>
        <v>Ссылка</v>
      </c>
      <c r="I489" s="5" t="s">
        <v>536</v>
      </c>
    </row>
    <row r="490" spans="1:9" s="4" customFormat="1" ht="38.1" customHeight="1" outlineLevel="1" x14ac:dyDescent="0.2">
      <c r="A490" s="5" t="s">
        <v>340</v>
      </c>
      <c r="B490" s="5" t="s">
        <v>354</v>
      </c>
      <c r="C490" s="5" t="s">
        <v>535</v>
      </c>
      <c r="D490" s="5" t="s">
        <v>347</v>
      </c>
      <c r="E490" s="5" t="s">
        <v>348</v>
      </c>
      <c r="F490" s="5" t="s">
        <v>16</v>
      </c>
      <c r="G490" s="6">
        <v>22680</v>
      </c>
      <c r="H490" s="485" t="str">
        <f>HYPERLINK("https://adv-map.ru/place/?LINK=300b09e331baccd0ef83663d4c86cc11","Ссылка")</f>
        <v>Ссылка</v>
      </c>
      <c r="I490" s="5" t="s">
        <v>536</v>
      </c>
    </row>
    <row r="491" spans="1:9" s="4" customFormat="1" ht="38.1" customHeight="1" outlineLevel="1" x14ac:dyDescent="0.2">
      <c r="A491" s="5" t="s">
        <v>340</v>
      </c>
      <c r="B491" s="5" t="s">
        <v>354</v>
      </c>
      <c r="C491" s="5" t="s">
        <v>537</v>
      </c>
      <c r="D491" s="5" t="s">
        <v>347</v>
      </c>
      <c r="E491" s="5" t="s">
        <v>348</v>
      </c>
      <c r="F491" s="5" t="s">
        <v>14</v>
      </c>
      <c r="G491" s="6">
        <v>27720</v>
      </c>
      <c r="H491" s="486" t="str">
        <f>HYPERLINK("https://adv-map.ru/place/?LINK=953d5c5be6708a3bfe435fd2733550bf","Ссылка")</f>
        <v>Ссылка</v>
      </c>
      <c r="I491" s="5" t="s">
        <v>538</v>
      </c>
    </row>
    <row r="492" spans="1:9" s="4" customFormat="1" ht="38.1" customHeight="1" outlineLevel="1" x14ac:dyDescent="0.2">
      <c r="A492" s="5" t="s">
        <v>340</v>
      </c>
      <c r="B492" s="5" t="s">
        <v>354</v>
      </c>
      <c r="C492" s="5" t="s">
        <v>537</v>
      </c>
      <c r="D492" s="5" t="s">
        <v>347</v>
      </c>
      <c r="E492" s="5" t="s">
        <v>348</v>
      </c>
      <c r="F492" s="5" t="s">
        <v>16</v>
      </c>
      <c r="G492" s="6">
        <v>22680</v>
      </c>
      <c r="H492" s="487" t="str">
        <f>HYPERLINK("https://adv-map.ru/place/?LINK=a4ce0e81ee977c3bdfa81c9f2e8c263b","Ссылка")</f>
        <v>Ссылка</v>
      </c>
      <c r="I492" s="5" t="s">
        <v>538</v>
      </c>
    </row>
    <row r="493" spans="1:9" s="4" customFormat="1" ht="38.1" customHeight="1" outlineLevel="1" x14ac:dyDescent="0.2">
      <c r="A493" s="5" t="s">
        <v>340</v>
      </c>
      <c r="B493" s="5" t="s">
        <v>354</v>
      </c>
      <c r="C493" s="5" t="s">
        <v>539</v>
      </c>
      <c r="D493" s="5" t="s">
        <v>405</v>
      </c>
      <c r="E493" s="5" t="s">
        <v>348</v>
      </c>
      <c r="F493" s="5" t="s">
        <v>14</v>
      </c>
      <c r="G493" s="6">
        <v>31500</v>
      </c>
      <c r="H493" s="488" t="str">
        <f>HYPERLINK("https://adv-map.ru/place/?LINK=c01ac5e9667ba39e401cc9e2c124ee57","Ссылка")</f>
        <v>Ссылка</v>
      </c>
      <c r="I493" s="5" t="s">
        <v>540</v>
      </c>
    </row>
    <row r="494" spans="1:9" s="4" customFormat="1" ht="38.1" customHeight="1" outlineLevel="1" x14ac:dyDescent="0.2">
      <c r="A494" s="5" t="s">
        <v>340</v>
      </c>
      <c r="B494" s="5" t="s">
        <v>354</v>
      </c>
      <c r="C494" s="5" t="s">
        <v>539</v>
      </c>
      <c r="D494" s="5" t="s">
        <v>405</v>
      </c>
      <c r="E494" s="5" t="s">
        <v>348</v>
      </c>
      <c r="F494" s="5" t="s">
        <v>16</v>
      </c>
      <c r="G494" s="6">
        <v>25200</v>
      </c>
      <c r="H494" s="489" t="str">
        <f>HYPERLINK("https://adv-map.ru/place/?LINK=4503614ee1ef6b6ce98157549eff126b","Ссылка")</f>
        <v>Ссылка</v>
      </c>
      <c r="I494" s="5" t="s">
        <v>540</v>
      </c>
    </row>
    <row r="495" spans="1:9" s="4" customFormat="1" ht="38.1" customHeight="1" outlineLevel="1" x14ac:dyDescent="0.2">
      <c r="A495" s="5" t="s">
        <v>340</v>
      </c>
      <c r="B495" s="5" t="s">
        <v>354</v>
      </c>
      <c r="C495" s="5" t="s">
        <v>541</v>
      </c>
      <c r="D495" s="5" t="s">
        <v>49</v>
      </c>
      <c r="E495" s="5" t="s">
        <v>13</v>
      </c>
      <c r="F495" s="5" t="s">
        <v>33</v>
      </c>
      <c r="G495" s="6">
        <v>52500</v>
      </c>
      <c r="H495" s="490" t="str">
        <f>HYPERLINK("https://adv-map.ru/place/?LINK=be3cd675c2da886d73c71be6528455ce","Ссылка")</f>
        <v>Ссылка</v>
      </c>
      <c r="I495" s="5" t="s">
        <v>542</v>
      </c>
    </row>
    <row r="496" spans="1:9" s="4" customFormat="1" ht="38.1" customHeight="1" outlineLevel="1" x14ac:dyDescent="0.2">
      <c r="A496" s="5" t="s">
        <v>340</v>
      </c>
      <c r="B496" s="5" t="s">
        <v>354</v>
      </c>
      <c r="C496" s="5" t="s">
        <v>541</v>
      </c>
      <c r="D496" s="5" t="s">
        <v>49</v>
      </c>
      <c r="E496" s="5" t="s">
        <v>13</v>
      </c>
      <c r="F496" s="5" t="s">
        <v>34</v>
      </c>
      <c r="G496" s="6">
        <v>52500</v>
      </c>
      <c r="H496" s="491" t="str">
        <f>HYPERLINK("https://adv-map.ru/place/?LINK=bb9ccc3b6ecc73776fd219f5928a29d7","Ссылка")</f>
        <v>Ссылка</v>
      </c>
      <c r="I496" s="5" t="s">
        <v>542</v>
      </c>
    </row>
    <row r="497" spans="1:9" s="4" customFormat="1" ht="38.1" customHeight="1" outlineLevel="1" x14ac:dyDescent="0.2">
      <c r="A497" s="5" t="s">
        <v>340</v>
      </c>
      <c r="B497" s="5" t="s">
        <v>354</v>
      </c>
      <c r="C497" s="5" t="s">
        <v>541</v>
      </c>
      <c r="D497" s="5" t="s">
        <v>49</v>
      </c>
      <c r="E497" s="5" t="s">
        <v>13</v>
      </c>
      <c r="F497" s="5" t="s">
        <v>35</v>
      </c>
      <c r="G497" s="6">
        <v>52500</v>
      </c>
      <c r="H497" s="492" t="str">
        <f>HYPERLINK("https://adv-map.ru/place/?LINK=3c019f7a05844522fc68a8d5ee1ff287","Ссылка")</f>
        <v>Ссылка</v>
      </c>
      <c r="I497" s="5" t="s">
        <v>542</v>
      </c>
    </row>
    <row r="498" spans="1:9" s="4" customFormat="1" ht="38.1" customHeight="1" outlineLevel="1" x14ac:dyDescent="0.2">
      <c r="A498" s="5" t="s">
        <v>340</v>
      </c>
      <c r="B498" s="5" t="s">
        <v>354</v>
      </c>
      <c r="C498" s="5" t="s">
        <v>543</v>
      </c>
      <c r="D498" s="5" t="s">
        <v>49</v>
      </c>
      <c r="E498" s="5" t="s">
        <v>13</v>
      </c>
      <c r="F498" s="5" t="s">
        <v>28</v>
      </c>
      <c r="G498" s="6">
        <v>52500</v>
      </c>
      <c r="H498" s="493" t="str">
        <f>HYPERLINK("https://adv-map.ru/place/?LINK=35c8304efd75e5c99ff5e85a9851e3b9","Ссылка")</f>
        <v>Ссылка</v>
      </c>
      <c r="I498" s="5" t="s">
        <v>542</v>
      </c>
    </row>
    <row r="499" spans="1:9" s="4" customFormat="1" ht="38.1" customHeight="1" outlineLevel="1" x14ac:dyDescent="0.2">
      <c r="A499" s="5" t="s">
        <v>340</v>
      </c>
      <c r="B499" s="5" t="s">
        <v>354</v>
      </c>
      <c r="C499" s="5" t="s">
        <v>543</v>
      </c>
      <c r="D499" s="5" t="s">
        <v>49</v>
      </c>
      <c r="E499" s="5" t="s">
        <v>13</v>
      </c>
      <c r="F499" s="5" t="s">
        <v>30</v>
      </c>
      <c r="G499" s="6">
        <v>52500</v>
      </c>
      <c r="H499" s="494" t="str">
        <f>HYPERLINK("https://adv-map.ru/place/?LINK=75c0c35382307f27829b8adfcf311f04","Ссылка")</f>
        <v>Ссылка</v>
      </c>
      <c r="I499" s="5" t="s">
        <v>542</v>
      </c>
    </row>
    <row r="500" spans="1:9" s="4" customFormat="1" ht="38.1" customHeight="1" outlineLevel="1" x14ac:dyDescent="0.2">
      <c r="A500" s="5" t="s">
        <v>340</v>
      </c>
      <c r="B500" s="5" t="s">
        <v>354</v>
      </c>
      <c r="C500" s="5" t="s">
        <v>543</v>
      </c>
      <c r="D500" s="5" t="s">
        <v>49</v>
      </c>
      <c r="E500" s="5" t="s">
        <v>13</v>
      </c>
      <c r="F500" s="5" t="s">
        <v>31</v>
      </c>
      <c r="G500" s="6">
        <v>52500</v>
      </c>
      <c r="H500" s="495" t="str">
        <f>HYPERLINK("https://adv-map.ru/place/?LINK=ae31d00740baf869fc5cca422cd64d13","Ссылка")</f>
        <v>Ссылка</v>
      </c>
      <c r="I500" s="5" t="s">
        <v>542</v>
      </c>
    </row>
    <row r="501" spans="1:9" s="4" customFormat="1" ht="38.1" customHeight="1" outlineLevel="1" x14ac:dyDescent="0.2">
      <c r="A501" s="5" t="s">
        <v>340</v>
      </c>
      <c r="B501" s="5" t="s">
        <v>354</v>
      </c>
      <c r="C501" s="5" t="s">
        <v>544</v>
      </c>
      <c r="D501" s="5" t="s">
        <v>12</v>
      </c>
      <c r="E501" s="5" t="s">
        <v>13</v>
      </c>
      <c r="F501" s="5" t="s">
        <v>14</v>
      </c>
      <c r="G501" s="6">
        <v>46200</v>
      </c>
      <c r="H501" s="496" t="str">
        <f>HYPERLINK("https://adv-map.ru/place/?LINK=6507a4b192d620cb5791ce7aa652c814","Ссылка")</f>
        <v>Ссылка</v>
      </c>
      <c r="I501" s="5" t="s">
        <v>545</v>
      </c>
    </row>
    <row r="502" spans="1:9" s="4" customFormat="1" ht="38.1" customHeight="1" outlineLevel="1" x14ac:dyDescent="0.2">
      <c r="A502" s="5" t="s">
        <v>340</v>
      </c>
      <c r="B502" s="5" t="s">
        <v>354</v>
      </c>
      <c r="C502" s="5" t="s">
        <v>544</v>
      </c>
      <c r="D502" s="5" t="s">
        <v>12</v>
      </c>
      <c r="E502" s="5" t="s">
        <v>13</v>
      </c>
      <c r="F502" s="5" t="s">
        <v>16</v>
      </c>
      <c r="G502" s="6">
        <v>25200</v>
      </c>
      <c r="H502" s="497" t="str">
        <f>HYPERLINK("https://adv-map.ru/place/?LINK=9fced92bd692067f6148ea102f79897c","Ссылка")</f>
        <v>Ссылка</v>
      </c>
      <c r="I502" s="5" t="s">
        <v>545</v>
      </c>
    </row>
    <row r="503" spans="1:9" s="4" customFormat="1" ht="38.1" customHeight="1" outlineLevel="1" x14ac:dyDescent="0.2">
      <c r="A503" s="5" t="s">
        <v>340</v>
      </c>
      <c r="B503" s="5" t="s">
        <v>546</v>
      </c>
      <c r="C503" s="5" t="s">
        <v>547</v>
      </c>
      <c r="D503" s="5" t="s">
        <v>347</v>
      </c>
      <c r="E503" s="5" t="s">
        <v>348</v>
      </c>
      <c r="F503" s="5" t="s">
        <v>14</v>
      </c>
      <c r="G503" s="6">
        <v>22680</v>
      </c>
      <c r="H503" s="498" t="str">
        <f>HYPERLINK("https://adv-map.ru/place/?LINK=6269d48a15771e22d03297fb2d9a8167","Ссылка")</f>
        <v>Ссылка</v>
      </c>
      <c r="I503" s="5" t="s">
        <v>548</v>
      </c>
    </row>
    <row r="504" spans="1:9" s="4" customFormat="1" ht="38.1" customHeight="1" outlineLevel="1" x14ac:dyDescent="0.2">
      <c r="A504" s="5" t="s">
        <v>340</v>
      </c>
      <c r="B504" s="5" t="s">
        <v>546</v>
      </c>
      <c r="C504" s="5" t="s">
        <v>547</v>
      </c>
      <c r="D504" s="5" t="s">
        <v>347</v>
      </c>
      <c r="E504" s="5" t="s">
        <v>348</v>
      </c>
      <c r="F504" s="5" t="s">
        <v>16</v>
      </c>
      <c r="G504" s="6">
        <v>17640</v>
      </c>
      <c r="H504" s="499" t="str">
        <f>HYPERLINK("https://adv-map.ru/place/?LINK=261c79aff41991e576dd4744884aa842","Ссылка")</f>
        <v>Ссылка</v>
      </c>
      <c r="I504" s="5" t="s">
        <v>548</v>
      </c>
    </row>
    <row r="505" spans="1:9" s="4" customFormat="1" ht="38.1" customHeight="1" outlineLevel="1" x14ac:dyDescent="0.2">
      <c r="A505" s="5" t="s">
        <v>340</v>
      </c>
      <c r="B505" s="5" t="s">
        <v>365</v>
      </c>
      <c r="C505" s="5" t="s">
        <v>549</v>
      </c>
      <c r="D505" s="5" t="s">
        <v>347</v>
      </c>
      <c r="E505" s="5" t="s">
        <v>348</v>
      </c>
      <c r="F505" s="5" t="s">
        <v>14</v>
      </c>
      <c r="G505" s="6">
        <v>25200</v>
      </c>
      <c r="H505" s="500" t="str">
        <f>HYPERLINK("https://adv-map.ru/place/?LINK=8f3113b17cef21859b5ec80a8e344bda","Ссылка")</f>
        <v>Ссылка</v>
      </c>
      <c r="I505" s="5" t="s">
        <v>550</v>
      </c>
    </row>
    <row r="506" spans="1:9" s="4" customFormat="1" ht="38.1" customHeight="1" outlineLevel="1" x14ac:dyDescent="0.2">
      <c r="A506" s="5" t="s">
        <v>340</v>
      </c>
      <c r="B506" s="5" t="s">
        <v>365</v>
      </c>
      <c r="C506" s="5" t="s">
        <v>549</v>
      </c>
      <c r="D506" s="5" t="s">
        <v>347</v>
      </c>
      <c r="E506" s="5" t="s">
        <v>348</v>
      </c>
      <c r="F506" s="5" t="s">
        <v>16</v>
      </c>
      <c r="G506" s="6">
        <v>20160</v>
      </c>
      <c r="H506" s="501" t="str">
        <f>HYPERLINK("https://adv-map.ru/place/?LINK=98352dd5283db6896ec52b17b22cea5b","Ссылка")</f>
        <v>Ссылка</v>
      </c>
      <c r="I506" s="5" t="s">
        <v>550</v>
      </c>
    </row>
    <row r="507" spans="1:9" s="4" customFormat="1" ht="38.1" customHeight="1" outlineLevel="1" x14ac:dyDescent="0.2">
      <c r="A507" s="5" t="s">
        <v>340</v>
      </c>
      <c r="B507" s="5" t="s">
        <v>546</v>
      </c>
      <c r="C507" s="5" t="s">
        <v>551</v>
      </c>
      <c r="D507" s="5" t="s">
        <v>347</v>
      </c>
      <c r="E507" s="5" t="s">
        <v>348</v>
      </c>
      <c r="F507" s="5" t="s">
        <v>14</v>
      </c>
      <c r="G507" s="6">
        <v>25200</v>
      </c>
      <c r="H507" s="502" t="str">
        <f>HYPERLINK("https://adv-map.ru/place/?LINK=8df56dcac5840468535f17cdef999ec7","Ссылка")</f>
        <v>Ссылка</v>
      </c>
      <c r="I507" s="5" t="s">
        <v>552</v>
      </c>
    </row>
    <row r="508" spans="1:9" s="4" customFormat="1" ht="38.1" customHeight="1" outlineLevel="1" x14ac:dyDescent="0.2">
      <c r="A508" s="5" t="s">
        <v>340</v>
      </c>
      <c r="B508" s="5" t="s">
        <v>546</v>
      </c>
      <c r="C508" s="5" t="s">
        <v>551</v>
      </c>
      <c r="D508" s="5" t="s">
        <v>347</v>
      </c>
      <c r="E508" s="5" t="s">
        <v>348</v>
      </c>
      <c r="F508" s="5" t="s">
        <v>16</v>
      </c>
      <c r="G508" s="6">
        <v>22680</v>
      </c>
      <c r="H508" s="503" t="str">
        <f>HYPERLINK("https://adv-map.ru/place/?LINK=7c98909f4b61e82f786fa621c04d42ab","Ссылка")</f>
        <v>Ссылка</v>
      </c>
      <c r="I508" s="5" t="s">
        <v>552</v>
      </c>
    </row>
    <row r="509" spans="1:9" s="4" customFormat="1" ht="38.1" customHeight="1" outlineLevel="1" x14ac:dyDescent="0.2">
      <c r="A509" s="5" t="s">
        <v>340</v>
      </c>
      <c r="B509" s="5" t="s">
        <v>546</v>
      </c>
      <c r="C509" s="5" t="s">
        <v>553</v>
      </c>
      <c r="D509" s="5" t="s">
        <v>347</v>
      </c>
      <c r="E509" s="5" t="s">
        <v>348</v>
      </c>
      <c r="F509" s="5" t="s">
        <v>14</v>
      </c>
      <c r="G509" s="6">
        <v>25200</v>
      </c>
      <c r="H509" s="504" t="str">
        <f>HYPERLINK("https://adv-map.ru/place/?LINK=3fbe090bf72fe2ef6e44878256d80c2e","Ссылка")</f>
        <v>Ссылка</v>
      </c>
      <c r="I509" s="5" t="s">
        <v>554</v>
      </c>
    </row>
    <row r="510" spans="1:9" s="4" customFormat="1" ht="38.1" customHeight="1" outlineLevel="1" x14ac:dyDescent="0.2">
      <c r="A510" s="5" t="s">
        <v>340</v>
      </c>
      <c r="B510" s="5" t="s">
        <v>546</v>
      </c>
      <c r="C510" s="5" t="s">
        <v>553</v>
      </c>
      <c r="D510" s="5" t="s">
        <v>347</v>
      </c>
      <c r="E510" s="5" t="s">
        <v>348</v>
      </c>
      <c r="F510" s="5" t="s">
        <v>16</v>
      </c>
      <c r="G510" s="6">
        <v>22680</v>
      </c>
      <c r="H510" s="505" t="str">
        <f>HYPERLINK("https://adv-map.ru/place/?LINK=45782eb9e8240e3cc64bef9dc29896c1","Ссылка")</f>
        <v>Ссылка</v>
      </c>
      <c r="I510" s="5" t="s">
        <v>554</v>
      </c>
    </row>
    <row r="511" spans="1:9" s="4" customFormat="1" ht="38.1" customHeight="1" outlineLevel="1" x14ac:dyDescent="0.2">
      <c r="A511" s="5" t="s">
        <v>340</v>
      </c>
      <c r="B511" s="5" t="s">
        <v>345</v>
      </c>
      <c r="C511" s="5" t="s">
        <v>555</v>
      </c>
      <c r="D511" s="5" t="s">
        <v>347</v>
      </c>
      <c r="E511" s="5" t="s">
        <v>348</v>
      </c>
      <c r="F511" s="5" t="s">
        <v>14</v>
      </c>
      <c r="G511" s="6">
        <v>25200</v>
      </c>
      <c r="H511" s="506" t="str">
        <f>HYPERLINK("https://adv-map.ru/place/?LINK=6e0c74db31ee6a33823f9b2101abdd03","Ссылка")</f>
        <v>Ссылка</v>
      </c>
      <c r="I511" s="5" t="s">
        <v>556</v>
      </c>
    </row>
    <row r="512" spans="1:9" s="4" customFormat="1" ht="38.1" customHeight="1" outlineLevel="1" x14ac:dyDescent="0.2">
      <c r="A512" s="5" t="s">
        <v>340</v>
      </c>
      <c r="B512" s="5" t="s">
        <v>345</v>
      </c>
      <c r="C512" s="5" t="s">
        <v>555</v>
      </c>
      <c r="D512" s="5" t="s">
        <v>347</v>
      </c>
      <c r="E512" s="5" t="s">
        <v>348</v>
      </c>
      <c r="F512" s="5" t="s">
        <v>16</v>
      </c>
      <c r="G512" s="6">
        <v>22680</v>
      </c>
      <c r="H512" s="507" t="str">
        <f>HYPERLINK("https://adv-map.ru/place/?LINK=57d89a58eda82fdc815ccadaaa794b5c","Ссылка")</f>
        <v>Ссылка</v>
      </c>
      <c r="I512" s="5" t="s">
        <v>556</v>
      </c>
    </row>
    <row r="513" spans="1:9" s="4" customFormat="1" ht="38.1" customHeight="1" outlineLevel="1" x14ac:dyDescent="0.2">
      <c r="A513" s="5" t="s">
        <v>340</v>
      </c>
      <c r="B513" s="5" t="s">
        <v>345</v>
      </c>
      <c r="C513" s="5" t="s">
        <v>557</v>
      </c>
      <c r="D513" s="5" t="s">
        <v>12</v>
      </c>
      <c r="E513" s="5" t="s">
        <v>13</v>
      </c>
      <c r="F513" s="5" t="s">
        <v>14</v>
      </c>
      <c r="G513" s="6">
        <v>46200</v>
      </c>
      <c r="H513" s="508" t="str">
        <f>HYPERLINK("https://adv-map.ru/place/?LINK=8a70d53003ad34dacedc6c21df23294c","Ссылка")</f>
        <v>Ссылка</v>
      </c>
      <c r="I513" s="5" t="s">
        <v>558</v>
      </c>
    </row>
    <row r="514" spans="1:9" s="4" customFormat="1" ht="38.1" customHeight="1" outlineLevel="1" x14ac:dyDescent="0.2">
      <c r="A514" s="5" t="s">
        <v>340</v>
      </c>
      <c r="B514" s="5" t="s">
        <v>345</v>
      </c>
      <c r="C514" s="5" t="s">
        <v>557</v>
      </c>
      <c r="D514" s="5" t="s">
        <v>12</v>
      </c>
      <c r="E514" s="5" t="s">
        <v>13</v>
      </c>
      <c r="F514" s="5" t="s">
        <v>16</v>
      </c>
      <c r="G514" s="6">
        <v>42000</v>
      </c>
      <c r="H514" s="509" t="str">
        <f>HYPERLINK("https://adv-map.ru/place/?LINK=21c781e9b198f03cddd111272bcb718f","Ссылка")</f>
        <v>Ссылка</v>
      </c>
      <c r="I514" s="5" t="s">
        <v>558</v>
      </c>
    </row>
    <row r="515" spans="1:9" s="4" customFormat="1" ht="38.1" customHeight="1" outlineLevel="1" x14ac:dyDescent="0.2">
      <c r="A515" s="5" t="s">
        <v>340</v>
      </c>
      <c r="B515" s="5" t="s">
        <v>345</v>
      </c>
      <c r="C515" s="5" t="s">
        <v>559</v>
      </c>
      <c r="D515" s="5" t="s">
        <v>347</v>
      </c>
      <c r="E515" s="5" t="s">
        <v>348</v>
      </c>
      <c r="F515" s="5" t="s">
        <v>14</v>
      </c>
      <c r="G515" s="6">
        <v>25200</v>
      </c>
      <c r="H515" s="510" t="str">
        <f>HYPERLINK("https://adv-map.ru/place/?LINK=876ffdb9b424daffd1a621edea813cbe","Ссылка")</f>
        <v>Ссылка</v>
      </c>
      <c r="I515" s="5" t="s">
        <v>560</v>
      </c>
    </row>
    <row r="516" spans="1:9" s="4" customFormat="1" ht="38.1" customHeight="1" outlineLevel="1" x14ac:dyDescent="0.2">
      <c r="A516" s="5" t="s">
        <v>340</v>
      </c>
      <c r="B516" s="5" t="s">
        <v>345</v>
      </c>
      <c r="C516" s="5" t="s">
        <v>559</v>
      </c>
      <c r="D516" s="5" t="s">
        <v>347</v>
      </c>
      <c r="E516" s="5" t="s">
        <v>348</v>
      </c>
      <c r="F516" s="5" t="s">
        <v>16</v>
      </c>
      <c r="G516" s="6">
        <v>22680</v>
      </c>
      <c r="H516" s="511" t="str">
        <f>HYPERLINK("https://adv-map.ru/place/?LINK=d14041506cec737c768155b09f448fb9","Ссылка")</f>
        <v>Ссылка</v>
      </c>
      <c r="I516" s="5" t="s">
        <v>560</v>
      </c>
    </row>
    <row r="517" spans="1:9" s="4" customFormat="1" ht="38.1" customHeight="1" outlineLevel="1" x14ac:dyDescent="0.2">
      <c r="A517" s="5" t="s">
        <v>340</v>
      </c>
      <c r="B517" s="5" t="s">
        <v>345</v>
      </c>
      <c r="C517" s="5" t="s">
        <v>561</v>
      </c>
      <c r="D517" s="5" t="s">
        <v>347</v>
      </c>
      <c r="E517" s="5" t="s">
        <v>348</v>
      </c>
      <c r="F517" s="5" t="s">
        <v>14</v>
      </c>
      <c r="G517" s="6">
        <v>22680</v>
      </c>
      <c r="H517" s="512" t="str">
        <f>HYPERLINK("https://adv-map.ru/place/?LINK=5607c4f14a70248027d15039daa48c59","Ссылка")</f>
        <v>Ссылка</v>
      </c>
      <c r="I517" s="5" t="s">
        <v>562</v>
      </c>
    </row>
    <row r="518" spans="1:9" s="4" customFormat="1" ht="38.1" customHeight="1" outlineLevel="1" x14ac:dyDescent="0.2">
      <c r="A518" s="5" t="s">
        <v>340</v>
      </c>
      <c r="B518" s="5" t="s">
        <v>345</v>
      </c>
      <c r="C518" s="5" t="s">
        <v>561</v>
      </c>
      <c r="D518" s="5" t="s">
        <v>347</v>
      </c>
      <c r="E518" s="5" t="s">
        <v>348</v>
      </c>
      <c r="F518" s="5" t="s">
        <v>16</v>
      </c>
      <c r="G518" s="6">
        <v>15120</v>
      </c>
      <c r="H518" s="513" t="str">
        <f>HYPERLINK("https://adv-map.ru/place/?LINK=f0a626c08258f91952114bcd9b50fe25","Ссылка")</f>
        <v>Ссылка</v>
      </c>
      <c r="I518" s="5" t="s">
        <v>562</v>
      </c>
    </row>
    <row r="519" spans="1:9" s="4" customFormat="1" ht="38.1" customHeight="1" outlineLevel="1" x14ac:dyDescent="0.2">
      <c r="A519" s="5" t="s">
        <v>340</v>
      </c>
      <c r="B519" s="5" t="s">
        <v>345</v>
      </c>
      <c r="C519" s="5" t="s">
        <v>563</v>
      </c>
      <c r="D519" s="5" t="s">
        <v>347</v>
      </c>
      <c r="E519" s="5" t="s">
        <v>348</v>
      </c>
      <c r="F519" s="5" t="s">
        <v>14</v>
      </c>
      <c r="G519" s="6">
        <v>22680</v>
      </c>
      <c r="H519" s="514" t="str">
        <f>HYPERLINK("https://adv-map.ru/place/?LINK=965051e2a5d2c8f3588fab420e0495b0","Ссылка")</f>
        <v>Ссылка</v>
      </c>
      <c r="I519" s="5" t="s">
        <v>564</v>
      </c>
    </row>
    <row r="520" spans="1:9" s="4" customFormat="1" ht="38.1" customHeight="1" outlineLevel="1" x14ac:dyDescent="0.2">
      <c r="A520" s="5" t="s">
        <v>340</v>
      </c>
      <c r="B520" s="5" t="s">
        <v>345</v>
      </c>
      <c r="C520" s="5" t="s">
        <v>563</v>
      </c>
      <c r="D520" s="5" t="s">
        <v>347</v>
      </c>
      <c r="E520" s="5" t="s">
        <v>348</v>
      </c>
      <c r="F520" s="5" t="s">
        <v>16</v>
      </c>
      <c r="G520" s="6">
        <v>17640</v>
      </c>
      <c r="H520" s="515" t="str">
        <f>HYPERLINK("https://adv-map.ru/place/?LINK=a3545585ea0bb6748047a43cbdb9eb04","Ссылка")</f>
        <v>Ссылка</v>
      </c>
      <c r="I520" s="5" t="s">
        <v>564</v>
      </c>
    </row>
    <row r="521" spans="1:9" s="4" customFormat="1" ht="38.1" customHeight="1" outlineLevel="1" x14ac:dyDescent="0.2">
      <c r="A521" s="5" t="s">
        <v>340</v>
      </c>
      <c r="B521" s="5" t="s">
        <v>345</v>
      </c>
      <c r="C521" s="5" t="s">
        <v>565</v>
      </c>
      <c r="D521" s="5" t="s">
        <v>347</v>
      </c>
      <c r="E521" s="5" t="s">
        <v>348</v>
      </c>
      <c r="F521" s="5" t="s">
        <v>14</v>
      </c>
      <c r="G521" s="6">
        <v>22680</v>
      </c>
      <c r="H521" s="516" t="str">
        <f>HYPERLINK("https://adv-map.ru/place/?LINK=49eae921682a5440e0cef8965dcf6c4c","Ссылка")</f>
        <v>Ссылка</v>
      </c>
      <c r="I521" s="5" t="s">
        <v>566</v>
      </c>
    </row>
    <row r="522" spans="1:9" s="4" customFormat="1" ht="38.1" customHeight="1" outlineLevel="1" x14ac:dyDescent="0.2">
      <c r="A522" s="5" t="s">
        <v>340</v>
      </c>
      <c r="B522" s="5" t="s">
        <v>345</v>
      </c>
      <c r="C522" s="5" t="s">
        <v>565</v>
      </c>
      <c r="D522" s="5" t="s">
        <v>347</v>
      </c>
      <c r="E522" s="5" t="s">
        <v>348</v>
      </c>
      <c r="F522" s="5" t="s">
        <v>16</v>
      </c>
      <c r="G522" s="6">
        <v>15120</v>
      </c>
      <c r="H522" s="517" t="str">
        <f>HYPERLINK("https://adv-map.ru/place/?LINK=7355a845c36956a692e6fff4df019212","Ссылка")</f>
        <v>Ссылка</v>
      </c>
      <c r="I522" s="5" t="s">
        <v>566</v>
      </c>
    </row>
    <row r="523" spans="1:9" s="4" customFormat="1" ht="38.1" customHeight="1" outlineLevel="1" x14ac:dyDescent="0.2">
      <c r="A523" s="5" t="s">
        <v>340</v>
      </c>
      <c r="B523" s="5" t="s">
        <v>345</v>
      </c>
      <c r="C523" s="5" t="s">
        <v>567</v>
      </c>
      <c r="D523" s="5" t="s">
        <v>49</v>
      </c>
      <c r="E523" s="5" t="s">
        <v>13</v>
      </c>
      <c r="F523" s="5" t="s">
        <v>28</v>
      </c>
      <c r="G523" s="6">
        <v>47250</v>
      </c>
      <c r="H523" s="518" t="str">
        <f>HYPERLINK("https://adv-map.ru/place/?LINK=f69fdf35ba7bd366a71c06eb24f9a35b","Ссылка")</f>
        <v>Ссылка</v>
      </c>
      <c r="I523" s="5" t="s">
        <v>568</v>
      </c>
    </row>
    <row r="524" spans="1:9" s="4" customFormat="1" ht="38.1" customHeight="1" outlineLevel="1" x14ac:dyDescent="0.2">
      <c r="A524" s="5" t="s">
        <v>340</v>
      </c>
      <c r="B524" s="5" t="s">
        <v>345</v>
      </c>
      <c r="C524" s="5" t="s">
        <v>567</v>
      </c>
      <c r="D524" s="5" t="s">
        <v>49</v>
      </c>
      <c r="E524" s="5" t="s">
        <v>13</v>
      </c>
      <c r="F524" s="5" t="s">
        <v>30</v>
      </c>
      <c r="G524" s="6">
        <v>47250</v>
      </c>
      <c r="H524" s="519" t="str">
        <f>HYPERLINK("https://adv-map.ru/place/?LINK=034ccaf35e1c6d0b150794718c13e46a","Ссылка")</f>
        <v>Ссылка</v>
      </c>
      <c r="I524" s="5" t="s">
        <v>568</v>
      </c>
    </row>
    <row r="525" spans="1:9" s="4" customFormat="1" ht="38.1" customHeight="1" outlineLevel="1" x14ac:dyDescent="0.2">
      <c r="A525" s="5" t="s">
        <v>340</v>
      </c>
      <c r="B525" s="5" t="s">
        <v>345</v>
      </c>
      <c r="C525" s="5" t="s">
        <v>567</v>
      </c>
      <c r="D525" s="5" t="s">
        <v>49</v>
      </c>
      <c r="E525" s="5" t="s">
        <v>13</v>
      </c>
      <c r="F525" s="5" t="s">
        <v>31</v>
      </c>
      <c r="G525" s="6">
        <v>47250</v>
      </c>
      <c r="H525" s="520" t="str">
        <f>HYPERLINK("https://adv-map.ru/place/?LINK=66595471020b8a1d65a63fd24c4db332","Ссылка")</f>
        <v>Ссылка</v>
      </c>
      <c r="I525" s="5" t="s">
        <v>568</v>
      </c>
    </row>
    <row r="526" spans="1:9" s="4" customFormat="1" ht="38.1" customHeight="1" outlineLevel="1" x14ac:dyDescent="0.2">
      <c r="A526" s="5" t="s">
        <v>340</v>
      </c>
      <c r="B526" s="5" t="s">
        <v>345</v>
      </c>
      <c r="C526" s="5" t="s">
        <v>567</v>
      </c>
      <c r="D526" s="5" t="s">
        <v>12</v>
      </c>
      <c r="E526" s="5" t="s">
        <v>13</v>
      </c>
      <c r="F526" s="5" t="s">
        <v>16</v>
      </c>
      <c r="G526" s="6">
        <v>42000</v>
      </c>
      <c r="H526" s="521" t="str">
        <f>HYPERLINK("https://adv-map.ru/place/?LINK=e157c301411632259c6637e225f24fd5","Ссылка")</f>
        <v>Ссылка</v>
      </c>
      <c r="I526" s="5" t="s">
        <v>568</v>
      </c>
    </row>
    <row r="527" spans="1:9" s="4" customFormat="1" ht="38.1" customHeight="1" outlineLevel="1" x14ac:dyDescent="0.2">
      <c r="A527" s="5" t="s">
        <v>340</v>
      </c>
      <c r="B527" s="5" t="s">
        <v>546</v>
      </c>
      <c r="C527" s="5" t="s">
        <v>569</v>
      </c>
      <c r="D527" s="5" t="s">
        <v>12</v>
      </c>
      <c r="E527" s="5" t="s">
        <v>13</v>
      </c>
      <c r="F527" s="5" t="s">
        <v>14</v>
      </c>
      <c r="G527" s="6">
        <v>39900</v>
      </c>
      <c r="H527" s="522" t="str">
        <f>HYPERLINK("https://adv-map.ru/place/?LINK=a179842e4968b1daa41f9d18f5fcad0b","Ссылка")</f>
        <v>Ссылка</v>
      </c>
      <c r="I527" s="5" t="s">
        <v>570</v>
      </c>
    </row>
    <row r="528" spans="1:9" s="4" customFormat="1" ht="38.1" customHeight="1" outlineLevel="1" x14ac:dyDescent="0.2">
      <c r="A528" s="5" t="s">
        <v>340</v>
      </c>
      <c r="B528" s="5" t="s">
        <v>546</v>
      </c>
      <c r="C528" s="5" t="s">
        <v>569</v>
      </c>
      <c r="D528" s="5" t="s">
        <v>12</v>
      </c>
      <c r="E528" s="5" t="s">
        <v>13</v>
      </c>
      <c r="F528" s="5" t="s">
        <v>16</v>
      </c>
      <c r="G528" s="6">
        <v>33600</v>
      </c>
      <c r="H528" s="523" t="str">
        <f>HYPERLINK("https://adv-map.ru/place/?LINK=8fddbe57a4eda0d352a09c678d27e025","Ссылка")</f>
        <v>Ссылка</v>
      </c>
      <c r="I528" s="5" t="s">
        <v>570</v>
      </c>
    </row>
    <row r="529" spans="1:9" s="4" customFormat="1" ht="38.1" customHeight="1" outlineLevel="1" x14ac:dyDescent="0.2">
      <c r="A529" s="5" t="s">
        <v>340</v>
      </c>
      <c r="B529" s="5" t="s">
        <v>546</v>
      </c>
      <c r="C529" s="5" t="s">
        <v>571</v>
      </c>
      <c r="D529" s="5" t="s">
        <v>12</v>
      </c>
      <c r="E529" s="5" t="s">
        <v>13</v>
      </c>
      <c r="F529" s="5" t="s">
        <v>14</v>
      </c>
      <c r="G529" s="6">
        <v>39900</v>
      </c>
      <c r="H529" s="524" t="str">
        <f>HYPERLINK("https://adv-map.ru/place/?LINK=0002ececb4bee934cc4fb24fc1236953","Ссылка")</f>
        <v>Ссылка</v>
      </c>
      <c r="I529" s="5" t="s">
        <v>572</v>
      </c>
    </row>
    <row r="530" spans="1:9" s="4" customFormat="1" ht="38.1" customHeight="1" outlineLevel="1" x14ac:dyDescent="0.2">
      <c r="A530" s="5" t="s">
        <v>340</v>
      </c>
      <c r="B530" s="5" t="s">
        <v>546</v>
      </c>
      <c r="C530" s="5" t="s">
        <v>571</v>
      </c>
      <c r="D530" s="5" t="s">
        <v>12</v>
      </c>
      <c r="E530" s="5" t="s">
        <v>13</v>
      </c>
      <c r="F530" s="5" t="s">
        <v>16</v>
      </c>
      <c r="G530" s="6">
        <v>33600</v>
      </c>
      <c r="H530" s="525" t="str">
        <f>HYPERLINK("https://adv-map.ru/place/?LINK=12151d26dd34a68e6bbf5ec0078b9f22","Ссылка")</f>
        <v>Ссылка</v>
      </c>
      <c r="I530" s="5" t="s">
        <v>572</v>
      </c>
    </row>
    <row r="531" spans="1:9" s="4" customFormat="1" ht="38.1" customHeight="1" outlineLevel="1" x14ac:dyDescent="0.2">
      <c r="A531" s="5" t="s">
        <v>340</v>
      </c>
      <c r="B531" s="5" t="s">
        <v>546</v>
      </c>
      <c r="C531" s="5" t="s">
        <v>573</v>
      </c>
      <c r="D531" s="5" t="s">
        <v>405</v>
      </c>
      <c r="E531" s="5" t="s">
        <v>348</v>
      </c>
      <c r="F531" s="5" t="s">
        <v>14</v>
      </c>
      <c r="G531" s="6">
        <v>27720</v>
      </c>
      <c r="H531" s="526" t="str">
        <f>HYPERLINK("https://adv-map.ru/place/?LINK=e92cd47da90fc7363baa6809ad635f67","Ссылка")</f>
        <v>Ссылка</v>
      </c>
      <c r="I531" s="5" t="s">
        <v>574</v>
      </c>
    </row>
    <row r="532" spans="1:9" s="4" customFormat="1" ht="38.1" customHeight="1" outlineLevel="1" x14ac:dyDescent="0.2">
      <c r="A532" s="5" t="s">
        <v>340</v>
      </c>
      <c r="B532" s="5" t="s">
        <v>546</v>
      </c>
      <c r="C532" s="5" t="s">
        <v>573</v>
      </c>
      <c r="D532" s="5" t="s">
        <v>405</v>
      </c>
      <c r="E532" s="5" t="s">
        <v>348</v>
      </c>
      <c r="F532" s="5" t="s">
        <v>16</v>
      </c>
      <c r="G532" s="6">
        <v>22680</v>
      </c>
      <c r="H532" s="527" t="str">
        <f>HYPERLINK("https://adv-map.ru/place/?LINK=407697f96449129f7d86f24b290daa03","Ссылка")</f>
        <v>Ссылка</v>
      </c>
      <c r="I532" s="5" t="s">
        <v>574</v>
      </c>
    </row>
    <row r="533" spans="1:9" s="4" customFormat="1" ht="38.1" customHeight="1" outlineLevel="1" x14ac:dyDescent="0.2">
      <c r="A533" s="5" t="s">
        <v>340</v>
      </c>
      <c r="B533" s="5" t="s">
        <v>354</v>
      </c>
      <c r="C533" s="5" t="s">
        <v>575</v>
      </c>
      <c r="D533" s="5" t="s">
        <v>49</v>
      </c>
      <c r="E533" s="5" t="s">
        <v>13</v>
      </c>
      <c r="F533" s="5" t="s">
        <v>28</v>
      </c>
      <c r="G533" s="6">
        <v>50400</v>
      </c>
      <c r="H533" s="528" t="str">
        <f>HYPERLINK("https://adv-map.ru/place/?LINK=1281617c7d0165c854909030a923674f","Ссылка")</f>
        <v>Ссылка</v>
      </c>
      <c r="I533" s="5" t="s">
        <v>576</v>
      </c>
    </row>
    <row r="534" spans="1:9" s="4" customFormat="1" ht="38.1" customHeight="1" outlineLevel="1" x14ac:dyDescent="0.2">
      <c r="A534" s="5" t="s">
        <v>340</v>
      </c>
      <c r="B534" s="5" t="s">
        <v>354</v>
      </c>
      <c r="C534" s="5" t="s">
        <v>575</v>
      </c>
      <c r="D534" s="5" t="s">
        <v>49</v>
      </c>
      <c r="E534" s="5" t="s">
        <v>13</v>
      </c>
      <c r="F534" s="5" t="s">
        <v>30</v>
      </c>
      <c r="G534" s="6">
        <v>50400</v>
      </c>
      <c r="H534" s="529" t="str">
        <f>HYPERLINK("https://adv-map.ru/place/?LINK=a93a1191a6e0ee377b930d84274f721f","Ссылка")</f>
        <v>Ссылка</v>
      </c>
      <c r="I534" s="5" t="s">
        <v>576</v>
      </c>
    </row>
    <row r="535" spans="1:9" s="4" customFormat="1" ht="38.1" customHeight="1" outlineLevel="1" x14ac:dyDescent="0.2">
      <c r="A535" s="5" t="s">
        <v>340</v>
      </c>
      <c r="B535" s="5" t="s">
        <v>354</v>
      </c>
      <c r="C535" s="5" t="s">
        <v>575</v>
      </c>
      <c r="D535" s="5" t="s">
        <v>49</v>
      </c>
      <c r="E535" s="5" t="s">
        <v>13</v>
      </c>
      <c r="F535" s="5" t="s">
        <v>31</v>
      </c>
      <c r="G535" s="6">
        <v>50400</v>
      </c>
      <c r="H535" s="530" t="str">
        <f>HYPERLINK("https://adv-map.ru/place/?LINK=87b33d8cb692aa5f25c3ae405db55840","Ссылка")</f>
        <v>Ссылка</v>
      </c>
      <c r="I535" s="5" t="s">
        <v>576</v>
      </c>
    </row>
    <row r="536" spans="1:9" s="4" customFormat="1" ht="38.1" customHeight="1" outlineLevel="1" x14ac:dyDescent="0.2">
      <c r="A536" s="5" t="s">
        <v>340</v>
      </c>
      <c r="B536" s="5" t="s">
        <v>354</v>
      </c>
      <c r="C536" s="5" t="s">
        <v>575</v>
      </c>
      <c r="D536" s="5" t="s">
        <v>49</v>
      </c>
      <c r="E536" s="5" t="s">
        <v>13</v>
      </c>
      <c r="F536" s="5" t="s">
        <v>33</v>
      </c>
      <c r="G536" s="6">
        <v>50400</v>
      </c>
      <c r="H536" s="531" t="str">
        <f>HYPERLINK("https://adv-map.ru/place/?LINK=b1795c732f3858321b613ca4c40f6557","Ссылка")</f>
        <v>Ссылка</v>
      </c>
      <c r="I536" s="5" t="s">
        <v>576</v>
      </c>
    </row>
    <row r="537" spans="1:9" s="4" customFormat="1" ht="38.1" customHeight="1" outlineLevel="1" x14ac:dyDescent="0.2">
      <c r="A537" s="5" t="s">
        <v>340</v>
      </c>
      <c r="B537" s="5" t="s">
        <v>354</v>
      </c>
      <c r="C537" s="5" t="s">
        <v>575</v>
      </c>
      <c r="D537" s="5" t="s">
        <v>49</v>
      </c>
      <c r="E537" s="5" t="s">
        <v>13</v>
      </c>
      <c r="F537" s="5" t="s">
        <v>34</v>
      </c>
      <c r="G537" s="6">
        <v>50400</v>
      </c>
      <c r="H537" s="532" t="str">
        <f>HYPERLINK("https://adv-map.ru/place/?LINK=a04fd4aa62fcfa58d94143cf616caa2e","Ссылка")</f>
        <v>Ссылка</v>
      </c>
      <c r="I537" s="5" t="s">
        <v>576</v>
      </c>
    </row>
    <row r="538" spans="1:9" s="4" customFormat="1" ht="38.1" customHeight="1" outlineLevel="1" x14ac:dyDescent="0.2">
      <c r="A538" s="5" t="s">
        <v>340</v>
      </c>
      <c r="B538" s="5" t="s">
        <v>354</v>
      </c>
      <c r="C538" s="5" t="s">
        <v>575</v>
      </c>
      <c r="D538" s="5" t="s">
        <v>49</v>
      </c>
      <c r="E538" s="5" t="s">
        <v>13</v>
      </c>
      <c r="F538" s="5" t="s">
        <v>35</v>
      </c>
      <c r="G538" s="6">
        <v>50400</v>
      </c>
      <c r="H538" s="533" t="str">
        <f>HYPERLINK("https://adv-map.ru/place/?LINK=77fa4b96858b749d896cba3631ea75f5","Ссылка")</f>
        <v>Ссылка</v>
      </c>
      <c r="I538" s="5" t="s">
        <v>576</v>
      </c>
    </row>
    <row r="539" spans="1:9" s="4" customFormat="1" ht="38.1" customHeight="1" outlineLevel="1" x14ac:dyDescent="0.2">
      <c r="A539" s="5" t="s">
        <v>340</v>
      </c>
      <c r="B539" s="5" t="s">
        <v>354</v>
      </c>
      <c r="C539" s="5" t="s">
        <v>577</v>
      </c>
      <c r="D539" s="5" t="s">
        <v>351</v>
      </c>
      <c r="E539" s="5" t="s">
        <v>352</v>
      </c>
      <c r="F539" s="5" t="s">
        <v>14</v>
      </c>
      <c r="G539" s="6">
        <v>189000</v>
      </c>
      <c r="H539" s="534" t="str">
        <f>HYPERLINK("https://adv-map.ru/place/?LINK=591a75b5a7213c7d374ed9122e49fcd9","Ссылка")</f>
        <v>Ссылка</v>
      </c>
      <c r="I539" s="5" t="s">
        <v>578</v>
      </c>
    </row>
    <row r="540" spans="1:9" s="4" customFormat="1" ht="38.1" customHeight="1" outlineLevel="1" x14ac:dyDescent="0.2">
      <c r="A540" s="5" t="s">
        <v>340</v>
      </c>
      <c r="B540" s="5" t="s">
        <v>354</v>
      </c>
      <c r="C540" s="5" t="s">
        <v>577</v>
      </c>
      <c r="D540" s="5" t="s">
        <v>351</v>
      </c>
      <c r="E540" s="5" t="s">
        <v>352</v>
      </c>
      <c r="F540" s="5" t="s">
        <v>16</v>
      </c>
      <c r="G540" s="6">
        <v>147000</v>
      </c>
      <c r="H540" s="535" t="str">
        <f>HYPERLINK("https://adv-map.ru/place/?LINK=46d2ca10925d045627c4eed3e4b41e6c","Ссылка")</f>
        <v>Ссылка</v>
      </c>
      <c r="I540" s="5" t="s">
        <v>578</v>
      </c>
    </row>
    <row r="541" spans="1:9" s="4" customFormat="1" ht="38.1" customHeight="1" outlineLevel="1" x14ac:dyDescent="0.2">
      <c r="A541" s="5" t="s">
        <v>340</v>
      </c>
      <c r="B541" s="5" t="s">
        <v>354</v>
      </c>
      <c r="C541" s="5" t="s">
        <v>579</v>
      </c>
      <c r="D541" s="5" t="s">
        <v>347</v>
      </c>
      <c r="E541" s="5" t="s">
        <v>348</v>
      </c>
      <c r="F541" s="5" t="s">
        <v>14</v>
      </c>
      <c r="G541" s="6">
        <v>30240</v>
      </c>
      <c r="H541" s="536" t="str">
        <f>HYPERLINK("https://adv-map.ru/place/?LINK=7f86eaa4dd68e279133d46b72e9cb508","Ссылка")</f>
        <v>Ссылка</v>
      </c>
      <c r="I541" s="5" t="s">
        <v>580</v>
      </c>
    </row>
    <row r="542" spans="1:9" s="4" customFormat="1" ht="38.1" customHeight="1" outlineLevel="1" x14ac:dyDescent="0.2">
      <c r="A542" s="5" t="s">
        <v>340</v>
      </c>
      <c r="B542" s="5" t="s">
        <v>354</v>
      </c>
      <c r="C542" s="5" t="s">
        <v>579</v>
      </c>
      <c r="D542" s="5" t="s">
        <v>347</v>
      </c>
      <c r="E542" s="5" t="s">
        <v>348</v>
      </c>
      <c r="F542" s="5" t="s">
        <v>16</v>
      </c>
      <c r="G542" s="6">
        <v>25200</v>
      </c>
      <c r="H542" s="537" t="str">
        <f>HYPERLINK("https://adv-map.ru/place/?LINK=99a98620e7ca62bd95c2c1e6bf84d954","Ссылка")</f>
        <v>Ссылка</v>
      </c>
      <c r="I542" s="5" t="s">
        <v>580</v>
      </c>
    </row>
    <row r="543" spans="1:9" s="4" customFormat="1" ht="38.1" customHeight="1" outlineLevel="1" x14ac:dyDescent="0.2">
      <c r="A543" s="5" t="s">
        <v>340</v>
      </c>
      <c r="B543" s="5" t="s">
        <v>354</v>
      </c>
      <c r="C543" s="5" t="s">
        <v>581</v>
      </c>
      <c r="D543" s="5" t="s">
        <v>12</v>
      </c>
      <c r="E543" s="5" t="s">
        <v>13</v>
      </c>
      <c r="F543" s="5" t="s">
        <v>14</v>
      </c>
      <c r="G543" s="6">
        <v>46200</v>
      </c>
      <c r="H543" s="538" t="str">
        <f>HYPERLINK("https://adv-map.ru/place/?LINK=4b5987b26d87ffcef5a490c704274ccb","Ссылка")</f>
        <v>Ссылка</v>
      </c>
      <c r="I543" s="5" t="s">
        <v>582</v>
      </c>
    </row>
    <row r="544" spans="1:9" s="4" customFormat="1" ht="38.1" customHeight="1" outlineLevel="1" x14ac:dyDescent="0.2">
      <c r="A544" s="5" t="s">
        <v>340</v>
      </c>
      <c r="B544" s="5" t="s">
        <v>354</v>
      </c>
      <c r="C544" s="5" t="s">
        <v>581</v>
      </c>
      <c r="D544" s="5" t="s">
        <v>12</v>
      </c>
      <c r="E544" s="5" t="s">
        <v>13</v>
      </c>
      <c r="F544" s="5" t="s">
        <v>16</v>
      </c>
      <c r="G544" s="6">
        <v>28980</v>
      </c>
      <c r="H544" s="539" t="str">
        <f>HYPERLINK("https://adv-map.ru/place/?LINK=6f6a1f0a9cb4286331d27b37608cc10c","Ссылка")</f>
        <v>Ссылка</v>
      </c>
      <c r="I544" s="5" t="s">
        <v>582</v>
      </c>
    </row>
    <row r="545" spans="1:9" s="4" customFormat="1" ht="38.1" customHeight="1" outlineLevel="1" x14ac:dyDescent="0.2">
      <c r="A545" s="5" t="s">
        <v>340</v>
      </c>
      <c r="B545" s="5" t="s">
        <v>354</v>
      </c>
      <c r="C545" s="5" t="s">
        <v>583</v>
      </c>
      <c r="D545" s="5" t="s">
        <v>12</v>
      </c>
      <c r="E545" s="5" t="s">
        <v>13</v>
      </c>
      <c r="F545" s="5" t="s">
        <v>14</v>
      </c>
      <c r="G545" s="6">
        <v>46200</v>
      </c>
      <c r="H545" s="540" t="str">
        <f>HYPERLINK("https://adv-map.ru/place/?LINK=644d05b4ce1d720a10c93f8100e2b246","Ссылка")</f>
        <v>Ссылка</v>
      </c>
      <c r="I545" s="5" t="s">
        <v>584</v>
      </c>
    </row>
    <row r="546" spans="1:9" s="4" customFormat="1" ht="38.1" customHeight="1" outlineLevel="1" x14ac:dyDescent="0.2">
      <c r="A546" s="5" t="s">
        <v>340</v>
      </c>
      <c r="B546" s="5" t="s">
        <v>354</v>
      </c>
      <c r="C546" s="5" t="s">
        <v>583</v>
      </c>
      <c r="D546" s="5" t="s">
        <v>12</v>
      </c>
      <c r="E546" s="5" t="s">
        <v>13</v>
      </c>
      <c r="F546" s="5" t="s">
        <v>16</v>
      </c>
      <c r="G546" s="6">
        <v>25200</v>
      </c>
      <c r="H546" s="541" t="str">
        <f>HYPERLINK("https://adv-map.ru/place/?LINK=dd2b0825435f01c963609a2043c5005b","Ссылка")</f>
        <v>Ссылка</v>
      </c>
      <c r="I546" s="5" t="s">
        <v>584</v>
      </c>
    </row>
    <row r="547" spans="1:9" s="4" customFormat="1" ht="38.1" customHeight="1" outlineLevel="1" x14ac:dyDescent="0.2">
      <c r="A547" s="5" t="s">
        <v>340</v>
      </c>
      <c r="B547" s="5" t="s">
        <v>354</v>
      </c>
      <c r="C547" s="5" t="s">
        <v>585</v>
      </c>
      <c r="D547" s="5" t="s">
        <v>347</v>
      </c>
      <c r="E547" s="5" t="s">
        <v>348</v>
      </c>
      <c r="F547" s="5" t="s">
        <v>14</v>
      </c>
      <c r="G547" s="6">
        <v>25200</v>
      </c>
      <c r="H547" s="542" t="str">
        <f>HYPERLINK("https://adv-map.ru/place/?LINK=1bd09f606b85b9f55e2236bd01059815","Ссылка")</f>
        <v>Ссылка</v>
      </c>
      <c r="I547" s="5" t="s">
        <v>586</v>
      </c>
    </row>
    <row r="548" spans="1:9" s="4" customFormat="1" ht="38.1" customHeight="1" outlineLevel="1" x14ac:dyDescent="0.2">
      <c r="A548" s="5" t="s">
        <v>340</v>
      </c>
      <c r="B548" s="5" t="s">
        <v>354</v>
      </c>
      <c r="C548" s="5" t="s">
        <v>585</v>
      </c>
      <c r="D548" s="5" t="s">
        <v>347</v>
      </c>
      <c r="E548" s="5" t="s">
        <v>348</v>
      </c>
      <c r="F548" s="5" t="s">
        <v>16</v>
      </c>
      <c r="G548" s="6">
        <v>20160</v>
      </c>
      <c r="H548" s="543" t="str">
        <f>HYPERLINK("https://adv-map.ru/place/?LINK=3e817864650d2d50d745a06e3c87bb94","Ссылка")</f>
        <v>Ссылка</v>
      </c>
      <c r="I548" s="5" t="s">
        <v>586</v>
      </c>
    </row>
    <row r="549" spans="1:9" s="4" customFormat="1" ht="38.1" customHeight="1" outlineLevel="1" x14ac:dyDescent="0.2">
      <c r="A549" s="5" t="s">
        <v>340</v>
      </c>
      <c r="B549" s="5" t="s">
        <v>354</v>
      </c>
      <c r="C549" s="5" t="s">
        <v>587</v>
      </c>
      <c r="D549" s="5" t="s">
        <v>347</v>
      </c>
      <c r="E549" s="5" t="s">
        <v>348</v>
      </c>
      <c r="F549" s="5" t="s">
        <v>14</v>
      </c>
      <c r="G549" s="6">
        <v>25200</v>
      </c>
      <c r="H549" s="544" t="str">
        <f>HYPERLINK("https://adv-map.ru/place/?LINK=62130d44895a2e11b44055e7f28f277d","Ссылка")</f>
        <v>Ссылка</v>
      </c>
      <c r="I549" s="5" t="s">
        <v>588</v>
      </c>
    </row>
    <row r="550" spans="1:9" s="4" customFormat="1" ht="38.1" customHeight="1" outlineLevel="1" x14ac:dyDescent="0.2">
      <c r="A550" s="5" t="s">
        <v>340</v>
      </c>
      <c r="B550" s="5" t="s">
        <v>354</v>
      </c>
      <c r="C550" s="5" t="s">
        <v>587</v>
      </c>
      <c r="D550" s="5" t="s">
        <v>347</v>
      </c>
      <c r="E550" s="5" t="s">
        <v>348</v>
      </c>
      <c r="F550" s="5" t="s">
        <v>16</v>
      </c>
      <c r="G550" s="6">
        <v>20160</v>
      </c>
      <c r="H550" s="545" t="str">
        <f>HYPERLINK("https://adv-map.ru/place/?LINK=fc0681b67aa46d298f65f56d033abb46","Ссылка")</f>
        <v>Ссылка</v>
      </c>
      <c r="I550" s="5" t="s">
        <v>588</v>
      </c>
    </row>
    <row r="551" spans="1:9" s="4" customFormat="1" ht="38.1" customHeight="1" outlineLevel="1" x14ac:dyDescent="0.2">
      <c r="A551" s="5" t="s">
        <v>340</v>
      </c>
      <c r="B551" s="5" t="s">
        <v>354</v>
      </c>
      <c r="C551" s="5" t="s">
        <v>589</v>
      </c>
      <c r="D551" s="5" t="s">
        <v>347</v>
      </c>
      <c r="E551" s="5" t="s">
        <v>348</v>
      </c>
      <c r="F551" s="5" t="s">
        <v>14</v>
      </c>
      <c r="G551" s="6">
        <v>23000</v>
      </c>
      <c r="H551" s="546" t="str">
        <f>HYPERLINK("https://adv-map.ru/place/?LINK=8ed7443f5fd2ed7fd49021ea6299b92a","Ссылка")</f>
        <v>Ссылка</v>
      </c>
      <c r="I551" s="5" t="s">
        <v>590</v>
      </c>
    </row>
    <row r="552" spans="1:9" s="4" customFormat="1" ht="38.1" customHeight="1" outlineLevel="1" x14ac:dyDescent="0.2">
      <c r="A552" s="5" t="s">
        <v>340</v>
      </c>
      <c r="B552" s="5" t="s">
        <v>354</v>
      </c>
      <c r="C552" s="5" t="s">
        <v>589</v>
      </c>
      <c r="D552" s="5" t="s">
        <v>347</v>
      </c>
      <c r="E552" s="5" t="s">
        <v>348</v>
      </c>
      <c r="F552" s="5" t="s">
        <v>16</v>
      </c>
      <c r="G552" s="6">
        <v>16000</v>
      </c>
      <c r="H552" s="547" t="str">
        <f>HYPERLINK("https://adv-map.ru/place/?LINK=71a5ddbd8bfa56aa3c73299a4c8bf5f4","Ссылка")</f>
        <v>Ссылка</v>
      </c>
      <c r="I552" s="5" t="s">
        <v>590</v>
      </c>
    </row>
    <row r="553" spans="1:9" s="4" customFormat="1" ht="38.1" customHeight="1" outlineLevel="1" x14ac:dyDescent="0.2">
      <c r="A553" s="5" t="s">
        <v>340</v>
      </c>
      <c r="B553" s="5" t="s">
        <v>354</v>
      </c>
      <c r="C553" s="5" t="s">
        <v>591</v>
      </c>
      <c r="D553" s="5" t="s">
        <v>396</v>
      </c>
      <c r="E553" s="5" t="s">
        <v>397</v>
      </c>
      <c r="F553" s="5" t="s">
        <v>28</v>
      </c>
      <c r="G553" s="6">
        <v>30240</v>
      </c>
      <c r="H553" s="548" t="str">
        <f>HYPERLINK("https://adv-map.ru/place/?LINK=af808c66132a637d0a974b6f3ea97c74","Ссылка")</f>
        <v>Ссылка</v>
      </c>
      <c r="I553" s="5" t="s">
        <v>592</v>
      </c>
    </row>
    <row r="554" spans="1:9" s="4" customFormat="1" ht="51" customHeight="1" outlineLevel="1" x14ac:dyDescent="0.2">
      <c r="A554" s="5" t="s">
        <v>340</v>
      </c>
      <c r="B554" s="5" t="s">
        <v>354</v>
      </c>
      <c r="C554" s="5" t="s">
        <v>591</v>
      </c>
      <c r="D554" s="5" t="s">
        <v>396</v>
      </c>
      <c r="E554" s="5" t="s">
        <v>397</v>
      </c>
      <c r="F554" s="5" t="s">
        <v>30</v>
      </c>
      <c r="G554" s="6">
        <v>25200</v>
      </c>
      <c r="H554" s="549" t="str">
        <f>HYPERLINK("https://adv-map.ru/place/?LINK=4aaee12a3640472685ba359da2ba242b","Ссылка")</f>
        <v>Ссылка</v>
      </c>
      <c r="I554" s="5" t="s">
        <v>592</v>
      </c>
    </row>
    <row r="555" spans="1:9" s="4" customFormat="1" ht="38.1" customHeight="1" outlineLevel="1" x14ac:dyDescent="0.2">
      <c r="A555" s="5" t="s">
        <v>340</v>
      </c>
      <c r="B555" s="5" t="s">
        <v>354</v>
      </c>
      <c r="C555" s="5" t="s">
        <v>591</v>
      </c>
      <c r="D555" s="5" t="s">
        <v>396</v>
      </c>
      <c r="E555" s="5" t="s">
        <v>397</v>
      </c>
      <c r="F555" s="5" t="s">
        <v>31</v>
      </c>
      <c r="G555" s="6">
        <v>20160</v>
      </c>
      <c r="H555" s="550" t="str">
        <f>HYPERLINK("https://adv-map.ru/place/?LINK=3335b3a759630194f52b0a6c5f32a840","Ссылка")</f>
        <v>Ссылка</v>
      </c>
      <c r="I555" s="5" t="s">
        <v>592</v>
      </c>
    </row>
    <row r="556" spans="1:9" s="4" customFormat="1" ht="51" customHeight="1" outlineLevel="1" x14ac:dyDescent="0.2">
      <c r="A556" s="5" t="s">
        <v>340</v>
      </c>
      <c r="B556" s="5" t="s">
        <v>354</v>
      </c>
      <c r="C556" s="5" t="s">
        <v>593</v>
      </c>
      <c r="D556" s="5" t="s">
        <v>393</v>
      </c>
      <c r="E556" s="5" t="s">
        <v>348</v>
      </c>
      <c r="F556" s="5" t="s">
        <v>14</v>
      </c>
      <c r="G556" s="6">
        <v>31500</v>
      </c>
      <c r="H556" s="551" t="str">
        <f>HYPERLINK("https://adv-map.ru/place/?LINK=df96cf00507aab395dda9de977a4e7d6","Ссылка")</f>
        <v>Ссылка</v>
      </c>
      <c r="I556" s="5" t="s">
        <v>594</v>
      </c>
    </row>
    <row r="557" spans="1:9" s="4" customFormat="1" ht="51" customHeight="1" outlineLevel="1" x14ac:dyDescent="0.2">
      <c r="A557" s="5" t="s">
        <v>340</v>
      </c>
      <c r="B557" s="5" t="s">
        <v>354</v>
      </c>
      <c r="C557" s="5" t="s">
        <v>593</v>
      </c>
      <c r="D557" s="5" t="s">
        <v>393</v>
      </c>
      <c r="E557" s="5" t="s">
        <v>348</v>
      </c>
      <c r="F557" s="5" t="s">
        <v>16</v>
      </c>
      <c r="G557" s="6">
        <v>27300</v>
      </c>
      <c r="H557" s="552" t="str">
        <f>HYPERLINK("https://adv-map.ru/place/?LINK=806bc07127d453054782583b057872d7","Ссылка")</f>
        <v>Ссылка</v>
      </c>
      <c r="I557" s="5" t="s">
        <v>594</v>
      </c>
    </row>
    <row r="558" spans="1:9" s="4" customFormat="1" ht="38.1" customHeight="1" outlineLevel="1" x14ac:dyDescent="0.2">
      <c r="A558" s="5" t="s">
        <v>340</v>
      </c>
      <c r="B558" s="5" t="s">
        <v>354</v>
      </c>
      <c r="C558" s="5" t="s">
        <v>595</v>
      </c>
      <c r="D558" s="5" t="s">
        <v>49</v>
      </c>
      <c r="E558" s="5" t="s">
        <v>13</v>
      </c>
      <c r="F558" s="5" t="s">
        <v>28</v>
      </c>
      <c r="G558" s="6">
        <v>50400</v>
      </c>
      <c r="H558" s="553" t="str">
        <f>HYPERLINK("https://adv-map.ru/place/?LINK=1df785c32887c41dcc32fca6b7508ec3","Ссылка")</f>
        <v>Ссылка</v>
      </c>
      <c r="I558" s="5" t="s">
        <v>596</v>
      </c>
    </row>
    <row r="559" spans="1:9" s="4" customFormat="1" ht="38.1" customHeight="1" outlineLevel="1" x14ac:dyDescent="0.2">
      <c r="A559" s="5" t="s">
        <v>340</v>
      </c>
      <c r="B559" s="5" t="s">
        <v>354</v>
      </c>
      <c r="C559" s="5" t="s">
        <v>595</v>
      </c>
      <c r="D559" s="5" t="s">
        <v>49</v>
      </c>
      <c r="E559" s="5" t="s">
        <v>13</v>
      </c>
      <c r="F559" s="5" t="s">
        <v>30</v>
      </c>
      <c r="G559" s="6">
        <v>50400</v>
      </c>
      <c r="H559" s="554" t="str">
        <f>HYPERLINK("https://adv-map.ru/place/?LINK=152248f9beddb44c5f163fd0ea11e091","Ссылка")</f>
        <v>Ссылка</v>
      </c>
      <c r="I559" s="5" t="s">
        <v>596</v>
      </c>
    </row>
    <row r="560" spans="1:9" s="4" customFormat="1" ht="51" customHeight="1" outlineLevel="1" x14ac:dyDescent="0.2">
      <c r="A560" s="5" t="s">
        <v>340</v>
      </c>
      <c r="B560" s="5" t="s">
        <v>354</v>
      </c>
      <c r="C560" s="5" t="s">
        <v>595</v>
      </c>
      <c r="D560" s="5" t="s">
        <v>49</v>
      </c>
      <c r="E560" s="5" t="s">
        <v>13</v>
      </c>
      <c r="F560" s="5" t="s">
        <v>31</v>
      </c>
      <c r="G560" s="6">
        <v>50400</v>
      </c>
      <c r="H560" s="555" t="str">
        <f>HYPERLINK("https://adv-map.ru/place/?LINK=0854e77251ce8861a8405163269828b8","Ссылка")</f>
        <v>Ссылка</v>
      </c>
      <c r="I560" s="5" t="s">
        <v>596</v>
      </c>
    </row>
    <row r="561" spans="1:9" s="4" customFormat="1" ht="38.1" customHeight="1" outlineLevel="1" x14ac:dyDescent="0.2">
      <c r="A561" s="5" t="s">
        <v>340</v>
      </c>
      <c r="B561" s="5" t="s">
        <v>354</v>
      </c>
      <c r="C561" s="5" t="s">
        <v>595</v>
      </c>
      <c r="D561" s="5" t="s">
        <v>12</v>
      </c>
      <c r="E561" s="5" t="s">
        <v>13</v>
      </c>
      <c r="F561" s="5" t="s">
        <v>16</v>
      </c>
      <c r="G561" s="6">
        <v>42000</v>
      </c>
      <c r="H561" s="556" t="str">
        <f>HYPERLINK("https://adv-map.ru/place/?LINK=433ff01a51cabd9b2fe7d4ba22c16f03","Ссылка")</f>
        <v>Ссылка</v>
      </c>
      <c r="I561" s="5" t="s">
        <v>596</v>
      </c>
    </row>
    <row r="562" spans="1:9" s="4" customFormat="1" ht="38.1" customHeight="1" outlineLevel="1" x14ac:dyDescent="0.2">
      <c r="A562" s="5" t="s">
        <v>340</v>
      </c>
      <c r="B562" s="5" t="s">
        <v>354</v>
      </c>
      <c r="C562" s="5" t="s">
        <v>597</v>
      </c>
      <c r="D562" s="5" t="s">
        <v>12</v>
      </c>
      <c r="E562" s="5" t="s">
        <v>13</v>
      </c>
      <c r="F562" s="5" t="s">
        <v>14</v>
      </c>
      <c r="G562" s="6">
        <v>47250</v>
      </c>
      <c r="H562" s="557" t="str">
        <f>HYPERLINK("https://adv-map.ru/place/?LINK=d97f6998dc28ef9e97358f6a2deec88a","Ссылка")</f>
        <v>Ссылка</v>
      </c>
      <c r="I562" s="5" t="s">
        <v>598</v>
      </c>
    </row>
    <row r="563" spans="1:9" s="4" customFormat="1" ht="38.1" customHeight="1" outlineLevel="1" x14ac:dyDescent="0.2">
      <c r="A563" s="5" t="s">
        <v>340</v>
      </c>
      <c r="B563" s="5" t="s">
        <v>354</v>
      </c>
      <c r="C563" s="5" t="s">
        <v>597</v>
      </c>
      <c r="D563" s="5" t="s">
        <v>12</v>
      </c>
      <c r="E563" s="5" t="s">
        <v>13</v>
      </c>
      <c r="F563" s="5" t="s">
        <v>16</v>
      </c>
      <c r="G563" s="6">
        <v>31500</v>
      </c>
      <c r="H563" s="558" t="str">
        <f>HYPERLINK("https://adv-map.ru/place/?LINK=d51421b0b2cbe8b8e3bdca2b6bc26c44","Ссылка")</f>
        <v>Ссылка</v>
      </c>
      <c r="I563" s="5" t="s">
        <v>598</v>
      </c>
    </row>
    <row r="564" spans="1:9" s="4" customFormat="1" ht="51" customHeight="1" outlineLevel="1" x14ac:dyDescent="0.2">
      <c r="A564" s="5" t="s">
        <v>340</v>
      </c>
      <c r="B564" s="5" t="s">
        <v>354</v>
      </c>
      <c r="C564" s="5" t="s">
        <v>599</v>
      </c>
      <c r="D564" s="5" t="s">
        <v>393</v>
      </c>
      <c r="E564" s="5" t="s">
        <v>348</v>
      </c>
      <c r="F564" s="5" t="s">
        <v>14</v>
      </c>
      <c r="G564" s="6">
        <v>31500</v>
      </c>
      <c r="H564" s="559" t="str">
        <f>HYPERLINK("https://adv-map.ru/place/?LINK=550da458033c983c2649e43288b2fbe6","Ссылка")</f>
        <v>Ссылка</v>
      </c>
      <c r="I564" s="5" t="s">
        <v>600</v>
      </c>
    </row>
    <row r="565" spans="1:9" s="4" customFormat="1" ht="51" customHeight="1" outlineLevel="1" x14ac:dyDescent="0.2">
      <c r="A565" s="5" t="s">
        <v>340</v>
      </c>
      <c r="B565" s="5" t="s">
        <v>354</v>
      </c>
      <c r="C565" s="5" t="s">
        <v>599</v>
      </c>
      <c r="D565" s="5" t="s">
        <v>393</v>
      </c>
      <c r="E565" s="5" t="s">
        <v>348</v>
      </c>
      <c r="F565" s="5" t="s">
        <v>16</v>
      </c>
      <c r="G565" s="6">
        <v>27300</v>
      </c>
      <c r="H565" s="559" t="str">
        <f>HYPERLINK("https://adv-map.ru/place/?LINK=550da458033c983c2649e43288b2fbe6","Ссылка")</f>
        <v>Ссылка</v>
      </c>
      <c r="I565" s="5" t="s">
        <v>600</v>
      </c>
    </row>
    <row r="566" spans="1:9" s="4" customFormat="1" ht="38.1" customHeight="1" outlineLevel="1" x14ac:dyDescent="0.2">
      <c r="A566" s="5" t="s">
        <v>340</v>
      </c>
      <c r="B566" s="5" t="s">
        <v>546</v>
      </c>
      <c r="C566" s="5" t="s">
        <v>601</v>
      </c>
      <c r="D566" s="5" t="s">
        <v>347</v>
      </c>
      <c r="E566" s="5" t="s">
        <v>348</v>
      </c>
      <c r="F566" s="5" t="s">
        <v>14</v>
      </c>
      <c r="G566" s="6">
        <v>22680</v>
      </c>
      <c r="H566" s="560" t="str">
        <f>HYPERLINK("https://adv-map.ru/place/?LINK=aa72c634eaacfcf59d41fee37db2d98f","Ссылка")</f>
        <v>Ссылка</v>
      </c>
      <c r="I566" s="5" t="s">
        <v>602</v>
      </c>
    </row>
    <row r="567" spans="1:9" s="4" customFormat="1" ht="38.1" customHeight="1" outlineLevel="1" x14ac:dyDescent="0.2">
      <c r="A567" s="5" t="s">
        <v>340</v>
      </c>
      <c r="B567" s="5" t="s">
        <v>546</v>
      </c>
      <c r="C567" s="5" t="s">
        <v>601</v>
      </c>
      <c r="D567" s="5" t="s">
        <v>347</v>
      </c>
      <c r="E567" s="5" t="s">
        <v>348</v>
      </c>
      <c r="F567" s="5" t="s">
        <v>16</v>
      </c>
      <c r="G567" s="6">
        <v>17640</v>
      </c>
      <c r="H567" s="561" t="str">
        <f>HYPERLINK("https://adv-map.ru/place/?LINK=6b7b802de0b5aaba21c8f974b865aa7c","Ссылка")</f>
        <v>Ссылка</v>
      </c>
      <c r="I567" s="5" t="s">
        <v>602</v>
      </c>
    </row>
    <row r="568" spans="1:9" s="4" customFormat="1" ht="38.1" customHeight="1" outlineLevel="1" x14ac:dyDescent="0.2">
      <c r="A568" s="5" t="s">
        <v>340</v>
      </c>
      <c r="B568" s="5" t="s">
        <v>365</v>
      </c>
      <c r="C568" s="5" t="s">
        <v>603</v>
      </c>
      <c r="D568" s="5" t="s">
        <v>347</v>
      </c>
      <c r="E568" s="5" t="s">
        <v>348</v>
      </c>
      <c r="F568" s="5" t="s">
        <v>14</v>
      </c>
      <c r="G568" s="6">
        <v>25200</v>
      </c>
      <c r="H568" s="562" t="str">
        <f>HYPERLINK("https://adv-map.ru/place/?LINK=d137dddf84be4fb9a7a0ed15d64b9f98","Ссылка")</f>
        <v>Ссылка</v>
      </c>
      <c r="I568" s="5" t="s">
        <v>604</v>
      </c>
    </row>
    <row r="569" spans="1:9" s="4" customFormat="1" ht="38.1" customHeight="1" outlineLevel="1" x14ac:dyDescent="0.2">
      <c r="A569" s="5" t="s">
        <v>340</v>
      </c>
      <c r="B569" s="5" t="s">
        <v>365</v>
      </c>
      <c r="C569" s="5" t="s">
        <v>603</v>
      </c>
      <c r="D569" s="5" t="s">
        <v>347</v>
      </c>
      <c r="E569" s="5" t="s">
        <v>348</v>
      </c>
      <c r="F569" s="5" t="s">
        <v>16</v>
      </c>
      <c r="G569" s="6">
        <v>20160</v>
      </c>
      <c r="H569" s="563" t="str">
        <f>HYPERLINK("https://adv-map.ru/place/?LINK=850a4bb0a5c40bfe9147cd5aaf36c483","Ссылка")</f>
        <v>Ссылка</v>
      </c>
      <c r="I569" s="5" t="s">
        <v>605</v>
      </c>
    </row>
    <row r="570" spans="1:9" s="4" customFormat="1" ht="38.1" customHeight="1" outlineLevel="1" x14ac:dyDescent="0.2">
      <c r="A570" s="5" t="s">
        <v>340</v>
      </c>
      <c r="B570" s="5" t="s">
        <v>365</v>
      </c>
      <c r="C570" s="5" t="s">
        <v>606</v>
      </c>
      <c r="D570" s="5" t="s">
        <v>347</v>
      </c>
      <c r="E570" s="5" t="s">
        <v>348</v>
      </c>
      <c r="F570" s="5" t="s">
        <v>14</v>
      </c>
      <c r="G570" s="6">
        <v>25200</v>
      </c>
      <c r="H570" s="564" t="str">
        <f>HYPERLINK("https://adv-map.ru/place/?LINK=fb23cbd533f3ee7b0cfde465136eb31b","Ссылка")</f>
        <v>Ссылка</v>
      </c>
      <c r="I570" s="5" t="s">
        <v>607</v>
      </c>
    </row>
    <row r="571" spans="1:9" s="4" customFormat="1" ht="38.1" customHeight="1" outlineLevel="1" x14ac:dyDescent="0.2">
      <c r="A571" s="5" t="s">
        <v>340</v>
      </c>
      <c r="B571" s="5" t="s">
        <v>365</v>
      </c>
      <c r="C571" s="5" t="s">
        <v>606</v>
      </c>
      <c r="D571" s="5" t="s">
        <v>347</v>
      </c>
      <c r="E571" s="5" t="s">
        <v>348</v>
      </c>
      <c r="F571" s="5" t="s">
        <v>16</v>
      </c>
      <c r="G571" s="6">
        <v>20160</v>
      </c>
      <c r="H571" s="565" t="str">
        <f>HYPERLINK("https://adv-map.ru/place/?LINK=0399edaa0704fab7df9a6af360b687af","Ссылка")</f>
        <v>Ссылка</v>
      </c>
      <c r="I571" s="5" t="s">
        <v>607</v>
      </c>
    </row>
    <row r="572" spans="1:9" s="4" customFormat="1" ht="38.1" customHeight="1" outlineLevel="1" x14ac:dyDescent="0.2">
      <c r="A572" s="5" t="s">
        <v>340</v>
      </c>
      <c r="B572" s="5" t="s">
        <v>354</v>
      </c>
      <c r="C572" s="5" t="s">
        <v>608</v>
      </c>
      <c r="D572" s="5" t="s">
        <v>347</v>
      </c>
      <c r="E572" s="5" t="s">
        <v>348</v>
      </c>
      <c r="F572" s="5" t="s">
        <v>14</v>
      </c>
      <c r="G572" s="6">
        <v>25200</v>
      </c>
      <c r="H572" s="566" t="str">
        <f>HYPERLINK("https://adv-map.ru/place/?LINK=728f6c5263804d8bf57ea19a1c85a6ca","Ссылка")</f>
        <v>Ссылка</v>
      </c>
      <c r="I572" s="5" t="s">
        <v>609</v>
      </c>
    </row>
    <row r="573" spans="1:9" s="4" customFormat="1" ht="38.1" customHeight="1" outlineLevel="1" x14ac:dyDescent="0.2">
      <c r="A573" s="5" t="s">
        <v>340</v>
      </c>
      <c r="B573" s="5" t="s">
        <v>354</v>
      </c>
      <c r="C573" s="5" t="s">
        <v>608</v>
      </c>
      <c r="D573" s="5" t="s">
        <v>347</v>
      </c>
      <c r="E573" s="5" t="s">
        <v>348</v>
      </c>
      <c r="F573" s="5" t="s">
        <v>16</v>
      </c>
      <c r="G573" s="6">
        <v>20160</v>
      </c>
      <c r="H573" s="567" t="str">
        <f>HYPERLINK("https://adv-map.ru/place/?LINK=edf5c27945c869fefaab73b6767c6f3e","Ссылка")</f>
        <v>Ссылка</v>
      </c>
      <c r="I573" s="5" t="s">
        <v>609</v>
      </c>
    </row>
    <row r="574" spans="1:9" s="4" customFormat="1" ht="38.1" customHeight="1" outlineLevel="1" x14ac:dyDescent="0.2">
      <c r="A574" s="5" t="s">
        <v>340</v>
      </c>
      <c r="B574" s="5" t="s">
        <v>354</v>
      </c>
      <c r="C574" s="5" t="s">
        <v>610</v>
      </c>
      <c r="D574" s="5" t="s">
        <v>347</v>
      </c>
      <c r="E574" s="5" t="s">
        <v>348</v>
      </c>
      <c r="F574" s="5" t="s">
        <v>14</v>
      </c>
      <c r="G574" s="6">
        <v>25200</v>
      </c>
      <c r="H574" s="568" t="str">
        <f>HYPERLINK("https://adv-map.ru/place/?LINK=e23dab8589da9807a3c96b75e90fab80","Ссылка")</f>
        <v>Ссылка</v>
      </c>
      <c r="I574" s="5" t="s">
        <v>611</v>
      </c>
    </row>
    <row r="575" spans="1:9" s="4" customFormat="1" ht="38.1" customHeight="1" outlineLevel="1" x14ac:dyDescent="0.2">
      <c r="A575" s="5" t="s">
        <v>340</v>
      </c>
      <c r="B575" s="5" t="s">
        <v>354</v>
      </c>
      <c r="C575" s="5" t="s">
        <v>610</v>
      </c>
      <c r="D575" s="5" t="s">
        <v>347</v>
      </c>
      <c r="E575" s="5" t="s">
        <v>348</v>
      </c>
      <c r="F575" s="5" t="s">
        <v>16</v>
      </c>
      <c r="G575" s="6">
        <v>20160</v>
      </c>
      <c r="H575" s="569" t="str">
        <f>HYPERLINK("https://adv-map.ru/place/?LINK=9934c95c5bb4f8b2c3c13c9336655384","Ссылка")</f>
        <v>Ссылка</v>
      </c>
      <c r="I575" s="5" t="s">
        <v>611</v>
      </c>
    </row>
    <row r="576" spans="1:9" s="4" customFormat="1" ht="38.1" customHeight="1" outlineLevel="1" x14ac:dyDescent="0.2">
      <c r="A576" s="5" t="s">
        <v>340</v>
      </c>
      <c r="B576" s="5" t="s">
        <v>354</v>
      </c>
      <c r="C576" s="5" t="s">
        <v>612</v>
      </c>
      <c r="D576" s="5" t="s">
        <v>347</v>
      </c>
      <c r="E576" s="5" t="s">
        <v>348</v>
      </c>
      <c r="F576" s="5" t="s">
        <v>14</v>
      </c>
      <c r="G576" s="6">
        <v>25200</v>
      </c>
      <c r="H576" s="570" t="str">
        <f>HYPERLINK("https://adv-map.ru/place/?LINK=ae4b6554eb1acaeab218cb2421e746e2","Ссылка")</f>
        <v>Ссылка</v>
      </c>
      <c r="I576" s="5" t="s">
        <v>613</v>
      </c>
    </row>
    <row r="577" spans="1:9" s="4" customFormat="1" ht="38.1" customHeight="1" outlineLevel="1" x14ac:dyDescent="0.2">
      <c r="A577" s="5" t="s">
        <v>340</v>
      </c>
      <c r="B577" s="5" t="s">
        <v>354</v>
      </c>
      <c r="C577" s="5" t="s">
        <v>612</v>
      </c>
      <c r="D577" s="5" t="s">
        <v>347</v>
      </c>
      <c r="E577" s="5" t="s">
        <v>348</v>
      </c>
      <c r="F577" s="5" t="s">
        <v>16</v>
      </c>
      <c r="G577" s="6">
        <v>20160</v>
      </c>
      <c r="H577" s="571" t="str">
        <f>HYPERLINK("https://adv-map.ru/place/?LINK=ea83432212049dc859964e10a74959ed","Ссылка")</f>
        <v>Ссылка</v>
      </c>
      <c r="I577" s="5" t="s">
        <v>613</v>
      </c>
    </row>
    <row r="578" spans="1:9" s="4" customFormat="1" ht="38.1" customHeight="1" outlineLevel="1" x14ac:dyDescent="0.2">
      <c r="A578" s="5" t="s">
        <v>340</v>
      </c>
      <c r="B578" s="5" t="s">
        <v>365</v>
      </c>
      <c r="C578" s="5" t="s">
        <v>614</v>
      </c>
      <c r="D578" s="5" t="s">
        <v>347</v>
      </c>
      <c r="E578" s="5" t="s">
        <v>348</v>
      </c>
      <c r="F578" s="5" t="s">
        <v>14</v>
      </c>
      <c r="G578" s="6">
        <v>22680</v>
      </c>
      <c r="H578" s="572" t="str">
        <f>HYPERLINK("https://adv-map.ru/place/?LINK=b737367dcc3f8ed083eb92614348dfbc","Ссылка")</f>
        <v>Ссылка</v>
      </c>
      <c r="I578" s="5" t="s">
        <v>615</v>
      </c>
    </row>
    <row r="579" spans="1:9" s="4" customFormat="1" ht="38.1" customHeight="1" outlineLevel="1" x14ac:dyDescent="0.2">
      <c r="A579" s="5" t="s">
        <v>340</v>
      </c>
      <c r="B579" s="5" t="s">
        <v>365</v>
      </c>
      <c r="C579" s="5" t="s">
        <v>614</v>
      </c>
      <c r="D579" s="5" t="s">
        <v>347</v>
      </c>
      <c r="E579" s="5" t="s">
        <v>348</v>
      </c>
      <c r="F579" s="5" t="s">
        <v>16</v>
      </c>
      <c r="G579" s="6">
        <v>17640</v>
      </c>
      <c r="H579" s="573" t="str">
        <f>HYPERLINK("https://adv-map.ru/place/?LINK=0c0e66b2be1c9564a244c0819c3a6c67","Ссылка")</f>
        <v>Ссылка</v>
      </c>
      <c r="I579" s="5" t="s">
        <v>616</v>
      </c>
    </row>
    <row r="580" spans="1:9" s="4" customFormat="1" ht="38.1" customHeight="1" outlineLevel="1" x14ac:dyDescent="0.2">
      <c r="A580" s="5" t="s">
        <v>340</v>
      </c>
      <c r="B580" s="5" t="s">
        <v>365</v>
      </c>
      <c r="C580" s="5" t="s">
        <v>617</v>
      </c>
      <c r="D580" s="5" t="s">
        <v>347</v>
      </c>
      <c r="E580" s="5" t="s">
        <v>348</v>
      </c>
      <c r="F580" s="5" t="s">
        <v>14</v>
      </c>
      <c r="G580" s="6">
        <v>22680</v>
      </c>
      <c r="H580" s="574" t="str">
        <f>HYPERLINK("https://adv-map.ru/place/?LINK=5ea83f216fae898e64e578eda4bee011","Ссылка")</f>
        <v>Ссылка</v>
      </c>
      <c r="I580" s="5" t="s">
        <v>618</v>
      </c>
    </row>
    <row r="581" spans="1:9" s="4" customFormat="1" ht="38.1" customHeight="1" outlineLevel="1" x14ac:dyDescent="0.2">
      <c r="A581" s="5" t="s">
        <v>340</v>
      </c>
      <c r="B581" s="5" t="s">
        <v>365</v>
      </c>
      <c r="C581" s="5" t="s">
        <v>617</v>
      </c>
      <c r="D581" s="5" t="s">
        <v>347</v>
      </c>
      <c r="E581" s="5" t="s">
        <v>348</v>
      </c>
      <c r="F581" s="5" t="s">
        <v>16</v>
      </c>
      <c r="G581" s="6">
        <v>17640</v>
      </c>
      <c r="H581" s="575" t="str">
        <f>HYPERLINK("https://adv-map.ru/place/?LINK=be7a4192970ad9962bfa1ae1ff8feced","Ссылка")</f>
        <v>Ссылка</v>
      </c>
      <c r="I581" s="5" t="s">
        <v>618</v>
      </c>
    </row>
    <row r="582" spans="1:9" s="4" customFormat="1" ht="38.1" customHeight="1" outlineLevel="1" x14ac:dyDescent="0.2">
      <c r="A582" s="5" t="s">
        <v>340</v>
      </c>
      <c r="B582" s="5" t="s">
        <v>365</v>
      </c>
      <c r="C582" s="5" t="s">
        <v>619</v>
      </c>
      <c r="D582" s="5" t="s">
        <v>347</v>
      </c>
      <c r="E582" s="5" t="s">
        <v>348</v>
      </c>
      <c r="F582" s="5" t="s">
        <v>14</v>
      </c>
      <c r="G582" s="6">
        <v>22680</v>
      </c>
      <c r="H582" s="576" t="str">
        <f>HYPERLINK("https://adv-map.ru/place/?LINK=dc33e570ec8e6419d4f18f77fe6df2aa","Ссылка")</f>
        <v>Ссылка</v>
      </c>
      <c r="I582" s="5" t="s">
        <v>620</v>
      </c>
    </row>
    <row r="583" spans="1:9" s="4" customFormat="1" ht="38.1" customHeight="1" outlineLevel="1" x14ac:dyDescent="0.2">
      <c r="A583" s="5" t="s">
        <v>340</v>
      </c>
      <c r="B583" s="5" t="s">
        <v>365</v>
      </c>
      <c r="C583" s="5" t="s">
        <v>619</v>
      </c>
      <c r="D583" s="5" t="s">
        <v>347</v>
      </c>
      <c r="E583" s="5" t="s">
        <v>348</v>
      </c>
      <c r="F583" s="5" t="s">
        <v>16</v>
      </c>
      <c r="G583" s="6">
        <v>17640</v>
      </c>
      <c r="H583" s="577" t="str">
        <f>HYPERLINK("https://adv-map.ru/place/?LINK=2afe7c619b62355738350ab75f3c92a1","Ссылка")</f>
        <v>Ссылка</v>
      </c>
      <c r="I583" s="5" t="s">
        <v>620</v>
      </c>
    </row>
    <row r="584" spans="1:9" s="4" customFormat="1" ht="38.1" customHeight="1" outlineLevel="1" x14ac:dyDescent="0.2">
      <c r="A584" s="5" t="s">
        <v>340</v>
      </c>
      <c r="B584" s="5" t="s">
        <v>365</v>
      </c>
      <c r="C584" s="5" t="s">
        <v>621</v>
      </c>
      <c r="D584" s="5" t="s">
        <v>347</v>
      </c>
      <c r="E584" s="5" t="s">
        <v>348</v>
      </c>
      <c r="F584" s="5" t="s">
        <v>14</v>
      </c>
      <c r="G584" s="6">
        <v>22680</v>
      </c>
      <c r="H584" s="578" t="str">
        <f>HYPERLINK("https://adv-map.ru/place/?LINK=7fd65e3e10b3d3d1d2a545a7642f2d0e","Ссылка")</f>
        <v>Ссылка</v>
      </c>
      <c r="I584" s="5" t="s">
        <v>622</v>
      </c>
    </row>
    <row r="585" spans="1:9" s="4" customFormat="1" ht="38.1" customHeight="1" outlineLevel="1" x14ac:dyDescent="0.2">
      <c r="A585" s="5" t="s">
        <v>340</v>
      </c>
      <c r="B585" s="5" t="s">
        <v>365</v>
      </c>
      <c r="C585" s="5" t="s">
        <v>621</v>
      </c>
      <c r="D585" s="5" t="s">
        <v>347</v>
      </c>
      <c r="E585" s="5" t="s">
        <v>348</v>
      </c>
      <c r="F585" s="5" t="s">
        <v>16</v>
      </c>
      <c r="G585" s="6">
        <v>17640</v>
      </c>
      <c r="H585" s="579" t="str">
        <f>HYPERLINK("https://adv-map.ru/place/?LINK=c8d34c17afaf88da14fac953025b4636","Ссылка")</f>
        <v>Ссылка</v>
      </c>
      <c r="I585" s="5" t="s">
        <v>623</v>
      </c>
    </row>
    <row r="586" spans="1:9" s="4" customFormat="1" ht="38.1" customHeight="1" outlineLevel="1" x14ac:dyDescent="0.2">
      <c r="A586" s="5" t="s">
        <v>340</v>
      </c>
      <c r="B586" s="5" t="s">
        <v>365</v>
      </c>
      <c r="C586" s="5" t="s">
        <v>624</v>
      </c>
      <c r="D586" s="5" t="s">
        <v>347</v>
      </c>
      <c r="E586" s="5" t="s">
        <v>348</v>
      </c>
      <c r="F586" s="5" t="s">
        <v>14</v>
      </c>
      <c r="G586" s="6">
        <v>22680</v>
      </c>
      <c r="H586" s="580" t="str">
        <f>HYPERLINK("https://adv-map.ru/place/?LINK=d4efd31b9439421c35835409ceb9ecb1","Ссылка")</f>
        <v>Ссылка</v>
      </c>
      <c r="I586" s="5" t="s">
        <v>625</v>
      </c>
    </row>
    <row r="587" spans="1:9" s="4" customFormat="1" ht="38.1" customHeight="1" outlineLevel="1" x14ac:dyDescent="0.2">
      <c r="A587" s="5" t="s">
        <v>340</v>
      </c>
      <c r="B587" s="5" t="s">
        <v>365</v>
      </c>
      <c r="C587" s="5" t="s">
        <v>624</v>
      </c>
      <c r="D587" s="5" t="s">
        <v>347</v>
      </c>
      <c r="E587" s="5" t="s">
        <v>348</v>
      </c>
      <c r="F587" s="5" t="s">
        <v>16</v>
      </c>
      <c r="G587" s="6">
        <v>17640</v>
      </c>
      <c r="H587" s="581" t="str">
        <f>HYPERLINK("https://adv-map.ru/place/?LINK=dc4c04ded608f03151398cbc01a84d28","Ссылка")</f>
        <v>Ссылка</v>
      </c>
      <c r="I587" s="5" t="s">
        <v>626</v>
      </c>
    </row>
    <row r="588" spans="1:9" s="4" customFormat="1" ht="38.1" customHeight="1" outlineLevel="1" x14ac:dyDescent="0.2">
      <c r="A588" s="5" t="s">
        <v>340</v>
      </c>
      <c r="B588" s="5" t="s">
        <v>365</v>
      </c>
      <c r="C588" s="5" t="s">
        <v>627</v>
      </c>
      <c r="D588" s="5" t="s">
        <v>347</v>
      </c>
      <c r="E588" s="5" t="s">
        <v>348</v>
      </c>
      <c r="F588" s="5" t="s">
        <v>14</v>
      </c>
      <c r="G588" s="6">
        <v>22680</v>
      </c>
      <c r="H588" s="582" t="str">
        <f>HYPERLINK("https://adv-map.ru/place/?LINK=dd7f09916d1474175ac34e7d243726ca","Ссылка")</f>
        <v>Ссылка</v>
      </c>
      <c r="I588" s="5" t="s">
        <v>628</v>
      </c>
    </row>
    <row r="589" spans="1:9" s="4" customFormat="1" ht="38.1" customHeight="1" outlineLevel="1" x14ac:dyDescent="0.2">
      <c r="A589" s="5" t="s">
        <v>340</v>
      </c>
      <c r="B589" s="5" t="s">
        <v>365</v>
      </c>
      <c r="C589" s="5" t="s">
        <v>627</v>
      </c>
      <c r="D589" s="5" t="s">
        <v>347</v>
      </c>
      <c r="E589" s="5" t="s">
        <v>348</v>
      </c>
      <c r="F589" s="5" t="s">
        <v>16</v>
      </c>
      <c r="G589" s="6">
        <v>17640</v>
      </c>
      <c r="H589" s="583" t="str">
        <f>HYPERLINK("https://adv-map.ru/place/?LINK=995906c7fbc93b4365bbdc96349d9b76","Ссылка")</f>
        <v>Ссылка</v>
      </c>
      <c r="I589" s="5" t="s">
        <v>629</v>
      </c>
    </row>
    <row r="590" spans="1:9" s="4" customFormat="1" ht="38.1" customHeight="1" outlineLevel="1" x14ac:dyDescent="0.2">
      <c r="A590" s="5" t="s">
        <v>340</v>
      </c>
      <c r="B590" s="5" t="s">
        <v>365</v>
      </c>
      <c r="C590" s="5" t="s">
        <v>630</v>
      </c>
      <c r="D590" s="5" t="s">
        <v>347</v>
      </c>
      <c r="E590" s="5" t="s">
        <v>348</v>
      </c>
      <c r="F590" s="5" t="s">
        <v>14</v>
      </c>
      <c r="G590" s="6">
        <v>22680</v>
      </c>
      <c r="H590" s="584" t="str">
        <f>HYPERLINK("https://adv-map.ru/place/?LINK=8e240152eed397a89e433b8428c40a8b","Ссылка")</f>
        <v>Ссылка</v>
      </c>
      <c r="I590" s="5" t="s">
        <v>631</v>
      </c>
    </row>
    <row r="591" spans="1:9" s="4" customFormat="1" ht="38.1" customHeight="1" outlineLevel="1" x14ac:dyDescent="0.2">
      <c r="A591" s="5" t="s">
        <v>340</v>
      </c>
      <c r="B591" s="5" t="s">
        <v>365</v>
      </c>
      <c r="C591" s="5" t="s">
        <v>630</v>
      </c>
      <c r="D591" s="5" t="s">
        <v>347</v>
      </c>
      <c r="E591" s="5" t="s">
        <v>348</v>
      </c>
      <c r="F591" s="5" t="s">
        <v>16</v>
      </c>
      <c r="G591" s="6">
        <v>17640</v>
      </c>
      <c r="H591" s="585" t="str">
        <f>HYPERLINK("https://adv-map.ru/place/?LINK=05f5bd1560743962aa78f8d9aa67bfa4","Ссылка")</f>
        <v>Ссылка</v>
      </c>
      <c r="I591" s="5" t="s">
        <v>631</v>
      </c>
    </row>
    <row r="592" spans="1:9" s="4" customFormat="1" ht="38.1" customHeight="1" outlineLevel="1" x14ac:dyDescent="0.2">
      <c r="A592" s="5" t="s">
        <v>340</v>
      </c>
      <c r="B592" s="5" t="s">
        <v>354</v>
      </c>
      <c r="C592" s="5" t="s">
        <v>632</v>
      </c>
      <c r="D592" s="5" t="s">
        <v>12</v>
      </c>
      <c r="E592" s="5" t="s">
        <v>13</v>
      </c>
      <c r="F592" s="5" t="s">
        <v>14</v>
      </c>
      <c r="G592" s="6">
        <v>42000</v>
      </c>
      <c r="H592" s="586" t="str">
        <f>HYPERLINK("https://adv-map.ru/place/?LINK=5c45bd20743f4990ea51565039a360c2","Ссылка")</f>
        <v>Ссылка</v>
      </c>
      <c r="I592" s="5" t="s">
        <v>633</v>
      </c>
    </row>
    <row r="593" spans="1:9" s="4" customFormat="1" ht="38.1" customHeight="1" outlineLevel="1" x14ac:dyDescent="0.2">
      <c r="A593" s="5" t="s">
        <v>340</v>
      </c>
      <c r="B593" s="5" t="s">
        <v>354</v>
      </c>
      <c r="C593" s="5" t="s">
        <v>632</v>
      </c>
      <c r="D593" s="5" t="s">
        <v>12</v>
      </c>
      <c r="E593" s="5" t="s">
        <v>13</v>
      </c>
      <c r="F593" s="5" t="s">
        <v>16</v>
      </c>
      <c r="G593" s="6">
        <v>31500</v>
      </c>
      <c r="H593" s="587" t="str">
        <f>HYPERLINK("https://adv-map.ru/place/?LINK=127b634b1f3f7ab33c4d6915316a1233","Ссылка")</f>
        <v>Ссылка</v>
      </c>
      <c r="I593" s="5" t="s">
        <v>633</v>
      </c>
    </row>
    <row r="594" spans="1:9" s="4" customFormat="1" ht="38.1" customHeight="1" outlineLevel="1" x14ac:dyDescent="0.2">
      <c r="A594" s="5" t="s">
        <v>340</v>
      </c>
      <c r="B594" s="5" t="s">
        <v>354</v>
      </c>
      <c r="C594" s="5" t="s">
        <v>634</v>
      </c>
      <c r="D594" s="5" t="s">
        <v>12</v>
      </c>
      <c r="E594" s="5" t="s">
        <v>13</v>
      </c>
      <c r="F594" s="5" t="s">
        <v>14</v>
      </c>
      <c r="G594" s="6">
        <v>42000</v>
      </c>
      <c r="H594" s="588" t="str">
        <f>HYPERLINK("https://adv-map.ru/place/?LINK=b660c1ac981f01016fe98d346f5f730c","Ссылка")</f>
        <v>Ссылка</v>
      </c>
      <c r="I594" s="5" t="s">
        <v>635</v>
      </c>
    </row>
    <row r="595" spans="1:9" s="4" customFormat="1" ht="38.1" customHeight="1" outlineLevel="1" x14ac:dyDescent="0.2">
      <c r="A595" s="5" t="s">
        <v>340</v>
      </c>
      <c r="B595" s="5" t="s">
        <v>354</v>
      </c>
      <c r="C595" s="5" t="s">
        <v>634</v>
      </c>
      <c r="D595" s="5" t="s">
        <v>12</v>
      </c>
      <c r="E595" s="5" t="s">
        <v>13</v>
      </c>
      <c r="F595" s="5" t="s">
        <v>16</v>
      </c>
      <c r="G595" s="6">
        <v>31500</v>
      </c>
      <c r="H595" s="589" t="str">
        <f>HYPERLINK("https://adv-map.ru/place/?LINK=72fab90c7b9ba4d77d9b559443b5a7c2","Ссылка")</f>
        <v>Ссылка</v>
      </c>
      <c r="I595" s="5" t="s">
        <v>635</v>
      </c>
    </row>
    <row r="596" spans="1:9" s="4" customFormat="1" ht="38.1" customHeight="1" outlineLevel="1" x14ac:dyDescent="0.2">
      <c r="A596" s="5" t="s">
        <v>340</v>
      </c>
      <c r="B596" s="5" t="s">
        <v>354</v>
      </c>
      <c r="C596" s="5" t="s">
        <v>636</v>
      </c>
      <c r="D596" s="5" t="s">
        <v>43</v>
      </c>
      <c r="E596" s="5" t="s">
        <v>414</v>
      </c>
      <c r="F596" s="5" t="s">
        <v>14</v>
      </c>
      <c r="G596" s="6">
        <v>37800</v>
      </c>
      <c r="H596" s="590" t="str">
        <f>HYPERLINK("https://adv-map.ru/place/?LINK=63fca8f768f5ac6d40c93d23f7ae2dfe","Ссылка")</f>
        <v>Ссылка</v>
      </c>
      <c r="I596" s="5" t="s">
        <v>637</v>
      </c>
    </row>
    <row r="597" spans="1:9" s="4" customFormat="1" ht="38.1" customHeight="1" outlineLevel="1" x14ac:dyDescent="0.2">
      <c r="A597" s="5" t="s">
        <v>340</v>
      </c>
      <c r="B597" s="5" t="s">
        <v>354</v>
      </c>
      <c r="C597" s="5" t="s">
        <v>636</v>
      </c>
      <c r="D597" s="5" t="s">
        <v>43</v>
      </c>
      <c r="E597" s="5" t="s">
        <v>414</v>
      </c>
      <c r="F597" s="5" t="s">
        <v>16</v>
      </c>
      <c r="G597" s="6">
        <v>22680</v>
      </c>
      <c r="H597" s="591" t="str">
        <f>HYPERLINK("https://adv-map.ru/place/?LINK=efc86fbc0ca98dae7add427cdb7aad77","Ссылка")</f>
        <v>Ссылка</v>
      </c>
      <c r="I597" s="5" t="s">
        <v>637</v>
      </c>
    </row>
    <row r="598" spans="1:9" s="4" customFormat="1" ht="38.1" customHeight="1" outlineLevel="1" x14ac:dyDescent="0.2">
      <c r="A598" s="5" t="s">
        <v>340</v>
      </c>
      <c r="B598" s="5" t="s">
        <v>354</v>
      </c>
      <c r="C598" s="5" t="s">
        <v>638</v>
      </c>
      <c r="D598" s="5" t="s">
        <v>347</v>
      </c>
      <c r="E598" s="5" t="s">
        <v>348</v>
      </c>
      <c r="F598" s="5" t="s">
        <v>14</v>
      </c>
      <c r="G598" s="6">
        <v>25200</v>
      </c>
      <c r="H598" s="592" t="str">
        <f>HYPERLINK("https://adv-map.ru/place/?LINK=cd27a4ba65402e19b13382d96881006f","Ссылка")</f>
        <v>Ссылка</v>
      </c>
      <c r="I598" s="5" t="s">
        <v>639</v>
      </c>
    </row>
    <row r="599" spans="1:9" s="4" customFormat="1" ht="38.1" customHeight="1" outlineLevel="1" x14ac:dyDescent="0.2">
      <c r="A599" s="5" t="s">
        <v>340</v>
      </c>
      <c r="B599" s="5" t="s">
        <v>354</v>
      </c>
      <c r="C599" s="5" t="s">
        <v>638</v>
      </c>
      <c r="D599" s="5" t="s">
        <v>347</v>
      </c>
      <c r="E599" s="5" t="s">
        <v>348</v>
      </c>
      <c r="F599" s="5" t="s">
        <v>16</v>
      </c>
      <c r="G599" s="6">
        <v>20160</v>
      </c>
      <c r="H599" s="593" t="str">
        <f>HYPERLINK("https://adv-map.ru/place/?LINK=5ba213fa207efa8b5af67a17487658ec","Ссылка")</f>
        <v>Ссылка</v>
      </c>
      <c r="I599" s="5" t="s">
        <v>640</v>
      </c>
    </row>
    <row r="600" spans="1:9" s="4" customFormat="1" ht="38.1" customHeight="1" outlineLevel="1" x14ac:dyDescent="0.2">
      <c r="A600" s="5" t="s">
        <v>340</v>
      </c>
      <c r="B600" s="5" t="s">
        <v>354</v>
      </c>
      <c r="C600" s="5" t="s">
        <v>641</v>
      </c>
      <c r="D600" s="5" t="s">
        <v>49</v>
      </c>
      <c r="E600" s="5" t="s">
        <v>13</v>
      </c>
      <c r="F600" s="5" t="s">
        <v>28</v>
      </c>
      <c r="G600" s="6">
        <v>47250</v>
      </c>
      <c r="H600" s="594" t="str">
        <f>HYPERLINK("https://adv-map.ru/place/?LINK=6bc9c49b710480a832df609f80147cb6","Ссылка")</f>
        <v>Ссылка</v>
      </c>
      <c r="I600" s="5" t="s">
        <v>642</v>
      </c>
    </row>
    <row r="601" spans="1:9" s="4" customFormat="1" ht="38.1" customHeight="1" outlineLevel="1" x14ac:dyDescent="0.2">
      <c r="A601" s="5" t="s">
        <v>340</v>
      </c>
      <c r="B601" s="5" t="s">
        <v>354</v>
      </c>
      <c r="C601" s="5" t="s">
        <v>641</v>
      </c>
      <c r="D601" s="5" t="s">
        <v>49</v>
      </c>
      <c r="E601" s="5" t="s">
        <v>13</v>
      </c>
      <c r="F601" s="5" t="s">
        <v>30</v>
      </c>
      <c r="G601" s="6">
        <v>47250</v>
      </c>
      <c r="H601" s="595" t="str">
        <f>HYPERLINK("https://adv-map.ru/place/?LINK=2454f3b397f319bf0dd2081f19666999","Ссылка")</f>
        <v>Ссылка</v>
      </c>
      <c r="I601" s="5" t="s">
        <v>642</v>
      </c>
    </row>
    <row r="602" spans="1:9" s="4" customFormat="1" ht="38.1" customHeight="1" outlineLevel="1" x14ac:dyDescent="0.2">
      <c r="A602" s="5" t="s">
        <v>340</v>
      </c>
      <c r="B602" s="5" t="s">
        <v>354</v>
      </c>
      <c r="C602" s="5" t="s">
        <v>641</v>
      </c>
      <c r="D602" s="5" t="s">
        <v>49</v>
      </c>
      <c r="E602" s="5" t="s">
        <v>13</v>
      </c>
      <c r="F602" s="5" t="s">
        <v>31</v>
      </c>
      <c r="G602" s="6">
        <v>47250</v>
      </c>
      <c r="H602" s="596" t="str">
        <f>HYPERLINK("https://adv-map.ru/place/?LINK=dcb924f1b0a9a5ccafdc4a99087bc1fa","Ссылка")</f>
        <v>Ссылка</v>
      </c>
      <c r="I602" s="5" t="s">
        <v>642</v>
      </c>
    </row>
    <row r="603" spans="1:9" s="4" customFormat="1" ht="38.1" customHeight="1" outlineLevel="1" x14ac:dyDescent="0.2">
      <c r="A603" s="5" t="s">
        <v>340</v>
      </c>
      <c r="B603" s="5" t="s">
        <v>354</v>
      </c>
      <c r="C603" s="5" t="s">
        <v>641</v>
      </c>
      <c r="D603" s="5" t="s">
        <v>12</v>
      </c>
      <c r="E603" s="5" t="s">
        <v>13</v>
      </c>
      <c r="F603" s="5" t="s">
        <v>16</v>
      </c>
      <c r="G603" s="6">
        <v>25000</v>
      </c>
      <c r="H603" s="597" t="str">
        <f>HYPERLINK("https://adv-map.ru/place/?LINK=95086c7780f94495fa8f3becd2a32853","Ссылка")</f>
        <v>Ссылка</v>
      </c>
      <c r="I603" s="5" t="s">
        <v>643</v>
      </c>
    </row>
    <row r="604" spans="1:9" s="4" customFormat="1" ht="38.1" customHeight="1" outlineLevel="1" x14ac:dyDescent="0.2">
      <c r="A604" s="5" t="s">
        <v>340</v>
      </c>
      <c r="B604" s="5" t="s">
        <v>134</v>
      </c>
      <c r="C604" s="5" t="s">
        <v>644</v>
      </c>
      <c r="D604" s="5" t="s">
        <v>396</v>
      </c>
      <c r="E604" s="5" t="s">
        <v>397</v>
      </c>
      <c r="F604" s="5" t="s">
        <v>28</v>
      </c>
      <c r="G604" s="6">
        <v>35280</v>
      </c>
      <c r="H604" s="598" t="str">
        <f>HYPERLINK("https://adv-map.ru/place/?LINK=b3b120dfc9194d6fa033e463bd1edabb","Ссылка")</f>
        <v>Ссылка</v>
      </c>
      <c r="I604" s="5" t="s">
        <v>645</v>
      </c>
    </row>
    <row r="605" spans="1:9" s="4" customFormat="1" ht="38.1" customHeight="1" outlineLevel="1" x14ac:dyDescent="0.2">
      <c r="A605" s="5" t="s">
        <v>340</v>
      </c>
      <c r="B605" s="5" t="s">
        <v>134</v>
      </c>
      <c r="C605" s="5" t="s">
        <v>644</v>
      </c>
      <c r="D605" s="5" t="s">
        <v>396</v>
      </c>
      <c r="E605" s="5" t="s">
        <v>397</v>
      </c>
      <c r="F605" s="5" t="s">
        <v>30</v>
      </c>
      <c r="G605" s="6">
        <v>30240</v>
      </c>
      <c r="H605" s="599" t="str">
        <f>HYPERLINK("https://adv-map.ru/place/?LINK=fcc04e29d7be930cfefc649a169d6439","Ссылка")</f>
        <v>Ссылка</v>
      </c>
      <c r="I605" s="5" t="s">
        <v>645</v>
      </c>
    </row>
    <row r="606" spans="1:9" s="4" customFormat="1" ht="38.1" customHeight="1" outlineLevel="1" x14ac:dyDescent="0.2">
      <c r="A606" s="5" t="s">
        <v>340</v>
      </c>
      <c r="B606" s="5" t="s">
        <v>134</v>
      </c>
      <c r="C606" s="5" t="s">
        <v>644</v>
      </c>
      <c r="D606" s="5" t="s">
        <v>396</v>
      </c>
      <c r="E606" s="5" t="s">
        <v>397</v>
      </c>
      <c r="F606" s="5" t="s">
        <v>31</v>
      </c>
      <c r="G606" s="6">
        <v>30240</v>
      </c>
      <c r="H606" s="600" t="str">
        <f>HYPERLINK("https://adv-map.ru/place/?LINK=fb16d607990e91fafcb70bf305247a9a","Ссылка")</f>
        <v>Ссылка</v>
      </c>
      <c r="I606" s="5" t="s">
        <v>645</v>
      </c>
    </row>
    <row r="607" spans="1:9" s="4" customFormat="1" ht="38.1" customHeight="1" outlineLevel="1" x14ac:dyDescent="0.2">
      <c r="A607" s="5" t="s">
        <v>340</v>
      </c>
      <c r="B607" s="5" t="s">
        <v>134</v>
      </c>
      <c r="C607" s="5" t="s">
        <v>646</v>
      </c>
      <c r="D607" s="5" t="s">
        <v>43</v>
      </c>
      <c r="E607" s="5" t="s">
        <v>504</v>
      </c>
      <c r="F607" s="5" t="s">
        <v>14</v>
      </c>
      <c r="G607" s="6">
        <v>44100</v>
      </c>
      <c r="H607" s="601" t="str">
        <f>HYPERLINK("https://adv-map.ru/place/?LINK=f76fa9caf75b69ba8157c7dd0b770388","Ссылка")</f>
        <v>Ссылка</v>
      </c>
      <c r="I607" s="5" t="s">
        <v>647</v>
      </c>
    </row>
    <row r="608" spans="1:9" s="4" customFormat="1" ht="51" customHeight="1" outlineLevel="1" x14ac:dyDescent="0.2">
      <c r="A608" s="5" t="s">
        <v>340</v>
      </c>
      <c r="B608" s="5" t="s">
        <v>134</v>
      </c>
      <c r="C608" s="5" t="s">
        <v>646</v>
      </c>
      <c r="D608" s="5" t="s">
        <v>43</v>
      </c>
      <c r="E608" s="5" t="s">
        <v>504</v>
      </c>
      <c r="F608" s="5" t="s">
        <v>16</v>
      </c>
      <c r="G608" s="6">
        <v>31500</v>
      </c>
      <c r="H608" s="602" t="str">
        <f>HYPERLINK("https://adv-map.ru/place/?LINK=d270bef94d49545b30aede8263b3bb61","Ссылка")</f>
        <v>Ссылка</v>
      </c>
      <c r="I608" s="5" t="s">
        <v>647</v>
      </c>
    </row>
    <row r="609" spans="1:9" s="4" customFormat="1" ht="38.1" customHeight="1" outlineLevel="1" x14ac:dyDescent="0.2">
      <c r="A609" s="5" t="s">
        <v>340</v>
      </c>
      <c r="B609" s="5" t="s">
        <v>354</v>
      </c>
      <c r="C609" s="5" t="s">
        <v>648</v>
      </c>
      <c r="D609" s="5" t="s">
        <v>405</v>
      </c>
      <c r="E609" s="5" t="s">
        <v>348</v>
      </c>
      <c r="F609" s="5" t="s">
        <v>14</v>
      </c>
      <c r="G609" s="6">
        <v>25200</v>
      </c>
      <c r="H609" s="603" t="str">
        <f>HYPERLINK("https://adv-map.ru/place/?LINK=66e56ad809b1fa703ee28c07e79eaef5","Ссылка")</f>
        <v>Ссылка</v>
      </c>
      <c r="I609" s="5" t="s">
        <v>649</v>
      </c>
    </row>
    <row r="610" spans="1:9" s="4" customFormat="1" ht="38.1" customHeight="1" outlineLevel="1" x14ac:dyDescent="0.2">
      <c r="A610" s="5" t="s">
        <v>340</v>
      </c>
      <c r="B610" s="5" t="s">
        <v>354</v>
      </c>
      <c r="C610" s="5" t="s">
        <v>648</v>
      </c>
      <c r="D610" s="5" t="s">
        <v>405</v>
      </c>
      <c r="E610" s="5" t="s">
        <v>348</v>
      </c>
      <c r="F610" s="5" t="s">
        <v>16</v>
      </c>
      <c r="G610" s="6">
        <v>20160</v>
      </c>
      <c r="H610" s="604" t="str">
        <f>HYPERLINK("https://adv-map.ru/place/?LINK=44cbd5c15a6494dbca47d8b47ac7893a","Ссылка")</f>
        <v>Ссылка</v>
      </c>
      <c r="I610" s="5" t="s">
        <v>649</v>
      </c>
    </row>
    <row r="611" spans="1:9" s="4" customFormat="1" ht="38.1" customHeight="1" outlineLevel="1" x14ac:dyDescent="0.2">
      <c r="A611" s="5" t="s">
        <v>340</v>
      </c>
      <c r="B611" s="5" t="s">
        <v>134</v>
      </c>
      <c r="C611" s="5" t="s">
        <v>650</v>
      </c>
      <c r="D611" s="5" t="s">
        <v>347</v>
      </c>
      <c r="E611" s="5" t="s">
        <v>348</v>
      </c>
      <c r="F611" s="5" t="s">
        <v>14</v>
      </c>
      <c r="G611" s="6">
        <v>25200</v>
      </c>
      <c r="H611" s="605" t="str">
        <f>HYPERLINK("https://adv-map.ru/place/?LINK=83fc60f8fc907e8d937447077a5ba907","Ссылка")</f>
        <v>Ссылка</v>
      </c>
      <c r="I611" s="5" t="s">
        <v>651</v>
      </c>
    </row>
    <row r="612" spans="1:9" s="4" customFormat="1" ht="38.1" customHeight="1" outlineLevel="1" x14ac:dyDescent="0.2">
      <c r="A612" s="5" t="s">
        <v>340</v>
      </c>
      <c r="B612" s="5" t="s">
        <v>134</v>
      </c>
      <c r="C612" s="5" t="s">
        <v>650</v>
      </c>
      <c r="D612" s="5" t="s">
        <v>347</v>
      </c>
      <c r="E612" s="5" t="s">
        <v>348</v>
      </c>
      <c r="F612" s="5" t="s">
        <v>16</v>
      </c>
      <c r="G612" s="6">
        <v>20160</v>
      </c>
      <c r="H612" s="606" t="str">
        <f>HYPERLINK("https://adv-map.ru/place/?LINK=7c7a4f289980fea347660f10296da6d4","Ссылка")</f>
        <v>Ссылка</v>
      </c>
      <c r="I612" s="5" t="s">
        <v>651</v>
      </c>
    </row>
    <row r="613" spans="1:9" s="4" customFormat="1" ht="51" customHeight="1" outlineLevel="1" x14ac:dyDescent="0.2">
      <c r="A613" s="5" t="s">
        <v>340</v>
      </c>
      <c r="B613" s="5" t="s">
        <v>652</v>
      </c>
      <c r="C613" s="5" t="s">
        <v>653</v>
      </c>
      <c r="D613" s="5" t="s">
        <v>43</v>
      </c>
      <c r="E613" s="5" t="s">
        <v>504</v>
      </c>
      <c r="F613" s="5" t="s">
        <v>14</v>
      </c>
      <c r="G613" s="6">
        <v>35700</v>
      </c>
      <c r="H613" s="607" t="str">
        <f>HYPERLINK("https://adv-map.ru/place/?LINK=921354c295671a0e6b769b16a80d7691","Ссылка")</f>
        <v>Ссылка</v>
      </c>
      <c r="I613" s="5" t="s">
        <v>654</v>
      </c>
    </row>
    <row r="614" spans="1:9" s="4" customFormat="1" ht="38.1" customHeight="1" outlineLevel="1" x14ac:dyDescent="0.2">
      <c r="A614" s="5" t="s">
        <v>340</v>
      </c>
      <c r="B614" s="5" t="s">
        <v>652</v>
      </c>
      <c r="C614" s="5" t="s">
        <v>653</v>
      </c>
      <c r="D614" s="5" t="s">
        <v>43</v>
      </c>
      <c r="E614" s="5" t="s">
        <v>504</v>
      </c>
      <c r="F614" s="5" t="s">
        <v>16</v>
      </c>
      <c r="G614" s="6">
        <v>25200</v>
      </c>
      <c r="H614" s="608" t="str">
        <f>HYPERLINK("https://adv-map.ru/place/?LINK=ac8ebe7ffe28bf36cc319205c25a1135","Ссылка")</f>
        <v>Ссылка</v>
      </c>
      <c r="I614" s="5" t="s">
        <v>654</v>
      </c>
    </row>
    <row r="615" spans="1:9" s="4" customFormat="1" ht="38.1" customHeight="1" outlineLevel="1" x14ac:dyDescent="0.2">
      <c r="A615" s="5" t="s">
        <v>340</v>
      </c>
      <c r="B615" s="5" t="s">
        <v>134</v>
      </c>
      <c r="C615" s="5" t="s">
        <v>655</v>
      </c>
      <c r="D615" s="5" t="s">
        <v>656</v>
      </c>
      <c r="E615" s="5" t="s">
        <v>657</v>
      </c>
      <c r="F615" s="5" t="s">
        <v>14</v>
      </c>
      <c r="G615" s="6">
        <v>35700</v>
      </c>
      <c r="H615" s="609" t="str">
        <f>HYPERLINK("https://adv-map.ru/place/?LINK=6080a6d2c28c07b1819225a8e5d3cc25","Ссылка")</f>
        <v>Ссылка</v>
      </c>
      <c r="I615" s="5" t="s">
        <v>658</v>
      </c>
    </row>
    <row r="616" spans="1:9" s="4" customFormat="1" ht="38.1" customHeight="1" outlineLevel="1" x14ac:dyDescent="0.2">
      <c r="A616" s="5" t="s">
        <v>340</v>
      </c>
      <c r="B616" s="5" t="s">
        <v>134</v>
      </c>
      <c r="C616" s="5" t="s">
        <v>655</v>
      </c>
      <c r="D616" s="5" t="s">
        <v>656</v>
      </c>
      <c r="E616" s="5" t="s">
        <v>657</v>
      </c>
      <c r="F616" s="5" t="s">
        <v>16</v>
      </c>
      <c r="G616" s="6">
        <v>27300</v>
      </c>
      <c r="H616" s="610" t="str">
        <f>HYPERLINK("https://adv-map.ru/place/?LINK=54abb4ea5f0d8cf4d00cede5ff8f45ed","Ссылка")</f>
        <v>Ссылка</v>
      </c>
      <c r="I616" s="5" t="s">
        <v>658</v>
      </c>
    </row>
    <row r="617" spans="1:9" s="4" customFormat="1" ht="38.1" customHeight="1" outlineLevel="1" x14ac:dyDescent="0.2">
      <c r="A617" s="5" t="s">
        <v>340</v>
      </c>
      <c r="B617" s="5" t="s">
        <v>134</v>
      </c>
      <c r="C617" s="5" t="s">
        <v>659</v>
      </c>
      <c r="D617" s="5" t="s">
        <v>347</v>
      </c>
      <c r="E617" s="5" t="s">
        <v>348</v>
      </c>
      <c r="F617" s="5" t="s">
        <v>14</v>
      </c>
      <c r="G617" s="6">
        <v>22680</v>
      </c>
      <c r="H617" s="611" t="str">
        <f>HYPERLINK("https://adv-map.ru/place/?LINK=0990743fa1cc62ae31a72d5dedff2f3a","Ссылка")</f>
        <v>Ссылка</v>
      </c>
      <c r="I617" s="5" t="s">
        <v>660</v>
      </c>
    </row>
    <row r="618" spans="1:9" s="4" customFormat="1" ht="38.1" customHeight="1" outlineLevel="1" x14ac:dyDescent="0.2">
      <c r="A618" s="5" t="s">
        <v>340</v>
      </c>
      <c r="B618" s="5" t="s">
        <v>134</v>
      </c>
      <c r="C618" s="5" t="s">
        <v>659</v>
      </c>
      <c r="D618" s="5" t="s">
        <v>347</v>
      </c>
      <c r="E618" s="5" t="s">
        <v>348</v>
      </c>
      <c r="F618" s="5" t="s">
        <v>16</v>
      </c>
      <c r="G618" s="6">
        <v>17640</v>
      </c>
      <c r="H618" s="612" t="str">
        <f>HYPERLINK("https://adv-map.ru/place/?LINK=f50328da44cbc6920e74b976f31d42c4","Ссылка")</f>
        <v>Ссылка</v>
      </c>
      <c r="I618" s="5" t="s">
        <v>661</v>
      </c>
    </row>
    <row r="619" spans="1:9" s="4" customFormat="1" ht="38.1" customHeight="1" outlineLevel="1" x14ac:dyDescent="0.2">
      <c r="A619" s="5" t="s">
        <v>340</v>
      </c>
      <c r="B619" s="5" t="s">
        <v>134</v>
      </c>
      <c r="C619" s="5" t="s">
        <v>662</v>
      </c>
      <c r="D619" s="5" t="s">
        <v>43</v>
      </c>
      <c r="E619" s="5" t="s">
        <v>504</v>
      </c>
      <c r="F619" s="5" t="s">
        <v>14</v>
      </c>
      <c r="G619" s="6">
        <v>42000</v>
      </c>
      <c r="H619" s="613" t="str">
        <f>HYPERLINK("https://adv-map.ru/place/?LINK=97844f3150fc4da8bb7e77b8b13beefe","Ссылка")</f>
        <v>Ссылка</v>
      </c>
      <c r="I619" s="5" t="s">
        <v>663</v>
      </c>
    </row>
    <row r="620" spans="1:9" s="4" customFormat="1" ht="38.1" customHeight="1" outlineLevel="1" x14ac:dyDescent="0.2">
      <c r="A620" s="5" t="s">
        <v>340</v>
      </c>
      <c r="B620" s="5" t="s">
        <v>134</v>
      </c>
      <c r="C620" s="5" t="s">
        <v>662</v>
      </c>
      <c r="D620" s="5" t="s">
        <v>43</v>
      </c>
      <c r="E620" s="5" t="s">
        <v>504</v>
      </c>
      <c r="F620" s="5" t="s">
        <v>16</v>
      </c>
      <c r="G620" s="6">
        <v>37800</v>
      </c>
      <c r="H620" s="614" t="str">
        <f>HYPERLINK("https://adv-map.ru/place/?LINK=5960e7e3011a32aea327d15847da53f9","Ссылка")</f>
        <v>Ссылка</v>
      </c>
      <c r="I620" s="5" t="s">
        <v>663</v>
      </c>
    </row>
    <row r="621" spans="1:9" s="4" customFormat="1" ht="38.1" customHeight="1" outlineLevel="1" x14ac:dyDescent="0.2">
      <c r="A621" s="5" t="s">
        <v>340</v>
      </c>
      <c r="B621" s="5" t="s">
        <v>134</v>
      </c>
      <c r="C621" s="5" t="s">
        <v>664</v>
      </c>
      <c r="D621" s="5" t="s">
        <v>43</v>
      </c>
      <c r="E621" s="5" t="s">
        <v>504</v>
      </c>
      <c r="F621" s="5" t="s">
        <v>16</v>
      </c>
      <c r="G621" s="6">
        <v>37800</v>
      </c>
      <c r="H621" s="615" t="str">
        <f>HYPERLINK("https://adv-map.ru/place/?LINK=75350a2807b60b7cbe7e51bd9c90fece","Ссылка")</f>
        <v>Ссылка</v>
      </c>
      <c r="I621" s="5" t="s">
        <v>665</v>
      </c>
    </row>
    <row r="622" spans="1:9" s="4" customFormat="1" ht="38.1" customHeight="1" outlineLevel="1" x14ac:dyDescent="0.2">
      <c r="A622" s="5" t="s">
        <v>340</v>
      </c>
      <c r="B622" s="5" t="s">
        <v>134</v>
      </c>
      <c r="C622" s="5" t="s">
        <v>666</v>
      </c>
      <c r="D622" s="5" t="s">
        <v>43</v>
      </c>
      <c r="E622" s="5" t="s">
        <v>504</v>
      </c>
      <c r="F622" s="5" t="s">
        <v>14</v>
      </c>
      <c r="G622" s="6">
        <v>42000</v>
      </c>
      <c r="H622" s="616" t="str">
        <f>HYPERLINK("https://adv-map.ru/place/?LINK=42e88381a83bb59da354b6b86ef9b898","Ссылка")</f>
        <v>Ссылка</v>
      </c>
      <c r="I622" s="5" t="s">
        <v>665</v>
      </c>
    </row>
    <row r="623" spans="1:9" s="4" customFormat="1" ht="38.1" customHeight="1" outlineLevel="1" x14ac:dyDescent="0.2">
      <c r="A623" s="5" t="s">
        <v>340</v>
      </c>
      <c r="B623" s="5" t="s">
        <v>134</v>
      </c>
      <c r="C623" s="5" t="s">
        <v>667</v>
      </c>
      <c r="D623" s="5" t="s">
        <v>43</v>
      </c>
      <c r="E623" s="5" t="s">
        <v>504</v>
      </c>
      <c r="F623" s="5" t="s">
        <v>14</v>
      </c>
      <c r="G623" s="6">
        <v>42000</v>
      </c>
      <c r="H623" s="617" t="str">
        <f>HYPERLINK("https://adv-map.ru/place/?LINK=79f451b18808b32c82fbc1563f7954b0","Ссылка")</f>
        <v>Ссылка</v>
      </c>
      <c r="I623" s="5" t="s">
        <v>668</v>
      </c>
    </row>
    <row r="624" spans="1:9" s="4" customFormat="1" ht="38.1" customHeight="1" outlineLevel="1" x14ac:dyDescent="0.2">
      <c r="A624" s="5" t="s">
        <v>340</v>
      </c>
      <c r="B624" s="5" t="s">
        <v>134</v>
      </c>
      <c r="C624" s="5" t="s">
        <v>667</v>
      </c>
      <c r="D624" s="5" t="s">
        <v>43</v>
      </c>
      <c r="E624" s="5" t="s">
        <v>504</v>
      </c>
      <c r="F624" s="5" t="s">
        <v>16</v>
      </c>
      <c r="G624" s="6">
        <v>37800</v>
      </c>
      <c r="H624" s="618" t="str">
        <f>HYPERLINK("https://adv-map.ru/place/?LINK=23af041bb8b84668146749f4dc07bc15","Ссылка")</f>
        <v>Ссылка</v>
      </c>
      <c r="I624" s="5" t="s">
        <v>668</v>
      </c>
    </row>
    <row r="625" spans="1:9" s="4" customFormat="1" ht="38.1" customHeight="1" outlineLevel="1" x14ac:dyDescent="0.2">
      <c r="A625" s="5" t="s">
        <v>340</v>
      </c>
      <c r="B625" s="5" t="s">
        <v>546</v>
      </c>
      <c r="C625" s="5" t="s">
        <v>669</v>
      </c>
      <c r="D625" s="5" t="s">
        <v>12</v>
      </c>
      <c r="E625" s="5" t="s">
        <v>13</v>
      </c>
      <c r="F625" s="5" t="s">
        <v>14</v>
      </c>
      <c r="G625" s="6">
        <v>37800</v>
      </c>
      <c r="H625" s="619" t="str">
        <f>HYPERLINK("https://adv-map.ru/place/?LINK=bbbed55c7416d7d2ef5202212269ec6b","Ссылка")</f>
        <v>Ссылка</v>
      </c>
      <c r="I625" s="5" t="s">
        <v>670</v>
      </c>
    </row>
    <row r="626" spans="1:9" s="4" customFormat="1" ht="38.1" customHeight="1" outlineLevel="1" x14ac:dyDescent="0.2">
      <c r="A626" s="5" t="s">
        <v>340</v>
      </c>
      <c r="B626" s="5" t="s">
        <v>546</v>
      </c>
      <c r="C626" s="5" t="s">
        <v>669</v>
      </c>
      <c r="D626" s="5" t="s">
        <v>12</v>
      </c>
      <c r="E626" s="5" t="s">
        <v>13</v>
      </c>
      <c r="F626" s="5" t="s">
        <v>16</v>
      </c>
      <c r="G626" s="6">
        <v>31500</v>
      </c>
      <c r="H626" s="620" t="str">
        <f>HYPERLINK("https://adv-map.ru/place/?LINK=c8217e3057a7ced5ef9c8ad134496ec8","Ссылка")</f>
        <v>Ссылка</v>
      </c>
      <c r="I626" s="5" t="s">
        <v>670</v>
      </c>
    </row>
    <row r="627" spans="1:9" s="4" customFormat="1" ht="38.1" customHeight="1" outlineLevel="1" x14ac:dyDescent="0.2">
      <c r="A627" s="5" t="s">
        <v>340</v>
      </c>
      <c r="B627" s="5" t="s">
        <v>546</v>
      </c>
      <c r="C627" s="5" t="s">
        <v>671</v>
      </c>
      <c r="D627" s="5" t="s">
        <v>12</v>
      </c>
      <c r="E627" s="5" t="s">
        <v>13</v>
      </c>
      <c r="F627" s="5" t="s">
        <v>14</v>
      </c>
      <c r="G627" s="6">
        <v>37800</v>
      </c>
      <c r="H627" s="621" t="str">
        <f>HYPERLINK("https://adv-map.ru/place/?LINK=bc5915453f792068a260ba3e7236fdef","Ссылка")</f>
        <v>Ссылка</v>
      </c>
      <c r="I627" s="5" t="s">
        <v>672</v>
      </c>
    </row>
    <row r="628" spans="1:9" s="4" customFormat="1" ht="38.1" customHeight="1" outlineLevel="1" x14ac:dyDescent="0.2">
      <c r="A628" s="5" t="s">
        <v>340</v>
      </c>
      <c r="B628" s="5" t="s">
        <v>546</v>
      </c>
      <c r="C628" s="5" t="s">
        <v>671</v>
      </c>
      <c r="D628" s="5" t="s">
        <v>12</v>
      </c>
      <c r="E628" s="5" t="s">
        <v>13</v>
      </c>
      <c r="F628" s="5" t="s">
        <v>16</v>
      </c>
      <c r="G628" s="6">
        <v>31500</v>
      </c>
      <c r="H628" s="622" t="str">
        <f>HYPERLINK("https://adv-map.ru/place/?LINK=a37546059d92db55102c094f833e639c","Ссылка")</f>
        <v>Ссылка</v>
      </c>
      <c r="I628" s="5" t="s">
        <v>672</v>
      </c>
    </row>
    <row r="629" spans="1:9" s="4" customFormat="1" ht="38.1" customHeight="1" outlineLevel="1" x14ac:dyDescent="0.2">
      <c r="A629" s="5" t="s">
        <v>340</v>
      </c>
      <c r="B629" s="5" t="s">
        <v>546</v>
      </c>
      <c r="C629" s="5" t="s">
        <v>673</v>
      </c>
      <c r="D629" s="5" t="s">
        <v>12</v>
      </c>
      <c r="E629" s="5" t="s">
        <v>13</v>
      </c>
      <c r="F629" s="5" t="s">
        <v>14</v>
      </c>
      <c r="G629" s="6">
        <v>37800</v>
      </c>
      <c r="H629" s="623" t="str">
        <f>HYPERLINK("https://adv-map.ru/place/?LINK=fcb4c87d63ee2b0c8d642193037f6ec7","Ссылка")</f>
        <v>Ссылка</v>
      </c>
      <c r="I629" s="5" t="s">
        <v>674</v>
      </c>
    </row>
    <row r="630" spans="1:9" s="4" customFormat="1" ht="38.1" customHeight="1" outlineLevel="1" x14ac:dyDescent="0.2">
      <c r="A630" s="5" t="s">
        <v>340</v>
      </c>
      <c r="B630" s="5" t="s">
        <v>546</v>
      </c>
      <c r="C630" s="5" t="s">
        <v>673</v>
      </c>
      <c r="D630" s="5" t="s">
        <v>12</v>
      </c>
      <c r="E630" s="5" t="s">
        <v>13</v>
      </c>
      <c r="F630" s="5" t="s">
        <v>16</v>
      </c>
      <c r="G630" s="6">
        <v>31500</v>
      </c>
      <c r="H630" s="624" t="str">
        <f>HYPERLINK("https://adv-map.ru/place/?LINK=8c1385a398544bbd12ce67e7897b1741","Ссылка")</f>
        <v>Ссылка</v>
      </c>
      <c r="I630" s="5" t="s">
        <v>674</v>
      </c>
    </row>
    <row r="631" spans="1:9" s="4" customFormat="1" ht="38.1" customHeight="1" outlineLevel="1" x14ac:dyDescent="0.2">
      <c r="A631" s="5" t="s">
        <v>340</v>
      </c>
      <c r="B631" s="5" t="s">
        <v>546</v>
      </c>
      <c r="C631" s="5" t="s">
        <v>675</v>
      </c>
      <c r="D631" s="5" t="s">
        <v>12</v>
      </c>
      <c r="E631" s="5" t="s">
        <v>13</v>
      </c>
      <c r="F631" s="5" t="s">
        <v>14</v>
      </c>
      <c r="G631" s="6">
        <v>37800</v>
      </c>
      <c r="H631" s="625" t="str">
        <f>HYPERLINK("https://adv-map.ru/place/?LINK=f919f165a3e58dd8555e690f4a5eec00","Ссылка")</f>
        <v>Ссылка</v>
      </c>
      <c r="I631" s="5" t="s">
        <v>676</v>
      </c>
    </row>
    <row r="632" spans="1:9" s="4" customFormat="1" ht="38.1" customHeight="1" outlineLevel="1" x14ac:dyDescent="0.2">
      <c r="A632" s="5" t="s">
        <v>340</v>
      </c>
      <c r="B632" s="5" t="s">
        <v>546</v>
      </c>
      <c r="C632" s="5" t="s">
        <v>675</v>
      </c>
      <c r="D632" s="5" t="s">
        <v>12</v>
      </c>
      <c r="E632" s="5" t="s">
        <v>13</v>
      </c>
      <c r="F632" s="5" t="s">
        <v>16</v>
      </c>
      <c r="G632" s="6">
        <v>31500</v>
      </c>
      <c r="H632" s="626" t="str">
        <f>HYPERLINK("https://adv-map.ru/place/?LINK=f17b51ff0e02d76249ef8669784685e7","Ссылка")</f>
        <v>Ссылка</v>
      </c>
      <c r="I632" s="5" t="s">
        <v>676</v>
      </c>
    </row>
    <row r="633" spans="1:9" s="4" customFormat="1" ht="38.1" customHeight="1" outlineLevel="1" x14ac:dyDescent="0.2">
      <c r="A633" s="5" t="s">
        <v>340</v>
      </c>
      <c r="B633" s="5" t="s">
        <v>134</v>
      </c>
      <c r="C633" s="5" t="s">
        <v>677</v>
      </c>
      <c r="D633" s="5" t="s">
        <v>43</v>
      </c>
      <c r="E633" s="5" t="s">
        <v>504</v>
      </c>
      <c r="F633" s="5" t="s">
        <v>14</v>
      </c>
      <c r="G633" s="6">
        <v>37800</v>
      </c>
      <c r="H633" s="627" t="str">
        <f>HYPERLINK("https://adv-map.ru/place/?LINK=a73252487fe22b316bb018ea1ba746c9","Ссылка")</f>
        <v>Ссылка</v>
      </c>
      <c r="I633" s="5" t="s">
        <v>678</v>
      </c>
    </row>
    <row r="634" spans="1:9" s="4" customFormat="1" ht="38.1" customHeight="1" outlineLevel="1" x14ac:dyDescent="0.2">
      <c r="A634" s="5" t="s">
        <v>340</v>
      </c>
      <c r="B634" s="5" t="s">
        <v>134</v>
      </c>
      <c r="C634" s="5" t="s">
        <v>677</v>
      </c>
      <c r="D634" s="5" t="s">
        <v>43</v>
      </c>
      <c r="E634" s="5" t="s">
        <v>504</v>
      </c>
      <c r="F634" s="5" t="s">
        <v>16</v>
      </c>
      <c r="G634" s="6">
        <v>31500</v>
      </c>
      <c r="H634" s="628" t="str">
        <f>HYPERLINK("https://adv-map.ru/place/?LINK=7b21cbe65e915401c70023694bb54d50","Ссылка")</f>
        <v>Ссылка</v>
      </c>
      <c r="I634" s="5" t="s">
        <v>678</v>
      </c>
    </row>
    <row r="635" spans="1:9" s="4" customFormat="1" ht="38.1" customHeight="1" outlineLevel="1" x14ac:dyDescent="0.2">
      <c r="A635" s="5" t="s">
        <v>340</v>
      </c>
      <c r="B635" s="5" t="s">
        <v>354</v>
      </c>
      <c r="C635" s="5" t="s">
        <v>679</v>
      </c>
      <c r="D635" s="5" t="s">
        <v>12</v>
      </c>
      <c r="E635" s="5" t="s">
        <v>13</v>
      </c>
      <c r="F635" s="5" t="s">
        <v>14</v>
      </c>
      <c r="G635" s="6">
        <v>42000</v>
      </c>
      <c r="H635" s="629" t="str">
        <f>HYPERLINK("https://adv-map.ru/place/?LINK=ecfa1d2ccf8d546fdebce133e45fe244","Ссылка")</f>
        <v>Ссылка</v>
      </c>
      <c r="I635" s="5" t="s">
        <v>680</v>
      </c>
    </row>
    <row r="636" spans="1:9" s="4" customFormat="1" ht="38.1" customHeight="1" outlineLevel="1" x14ac:dyDescent="0.2">
      <c r="A636" s="5" t="s">
        <v>340</v>
      </c>
      <c r="B636" s="5" t="s">
        <v>354</v>
      </c>
      <c r="C636" s="5" t="s">
        <v>679</v>
      </c>
      <c r="D636" s="5" t="s">
        <v>12</v>
      </c>
      <c r="E636" s="5" t="s">
        <v>13</v>
      </c>
      <c r="F636" s="5" t="s">
        <v>16</v>
      </c>
      <c r="G636" s="6">
        <v>37800</v>
      </c>
      <c r="H636" s="630" t="str">
        <f>HYPERLINK("https://adv-map.ru/place/?LINK=f8724b6052e34b258124e4881cf2c87c","Ссылка")</f>
        <v>Ссылка</v>
      </c>
      <c r="I636" s="5" t="s">
        <v>680</v>
      </c>
    </row>
    <row r="637" spans="1:9" s="4" customFormat="1" ht="38.1" customHeight="1" outlineLevel="1" x14ac:dyDescent="0.2">
      <c r="A637" s="5" t="s">
        <v>340</v>
      </c>
      <c r="B637" s="5" t="s">
        <v>354</v>
      </c>
      <c r="C637" s="5" t="s">
        <v>681</v>
      </c>
      <c r="D637" s="5" t="s">
        <v>12</v>
      </c>
      <c r="E637" s="5" t="s">
        <v>13</v>
      </c>
      <c r="F637" s="5" t="s">
        <v>14</v>
      </c>
      <c r="G637" s="6">
        <v>46200</v>
      </c>
      <c r="H637" s="631" t="str">
        <f>HYPERLINK("https://adv-map.ru/place/?LINK=4edd26ba31b08081ea4637f36acc3efd","Ссылка")</f>
        <v>Ссылка</v>
      </c>
      <c r="I637" s="5"/>
    </row>
    <row r="638" spans="1:9" s="4" customFormat="1" ht="38.1" customHeight="1" outlineLevel="1" x14ac:dyDescent="0.2">
      <c r="A638" s="5" t="s">
        <v>340</v>
      </c>
      <c r="B638" s="5" t="s">
        <v>354</v>
      </c>
      <c r="C638" s="5" t="s">
        <v>681</v>
      </c>
      <c r="D638" s="5" t="s">
        <v>49</v>
      </c>
      <c r="E638" s="5" t="s">
        <v>13</v>
      </c>
      <c r="F638" s="5" t="s">
        <v>28</v>
      </c>
      <c r="G638" s="6">
        <v>44000</v>
      </c>
      <c r="H638" s="632" t="str">
        <f>HYPERLINK("https://adv-map.ru/place/?LINK=04ce2829d46cb47417a6ffab207c18b9","Ссылка")</f>
        <v>Ссылка</v>
      </c>
      <c r="I638" s="5" t="s">
        <v>682</v>
      </c>
    </row>
    <row r="639" spans="1:9" s="4" customFormat="1" ht="38.1" customHeight="1" outlineLevel="1" x14ac:dyDescent="0.2">
      <c r="A639" s="5" t="s">
        <v>340</v>
      </c>
      <c r="B639" s="5" t="s">
        <v>354</v>
      </c>
      <c r="C639" s="5" t="s">
        <v>681</v>
      </c>
      <c r="D639" s="5" t="s">
        <v>49</v>
      </c>
      <c r="E639" s="5" t="s">
        <v>13</v>
      </c>
      <c r="F639" s="5" t="s">
        <v>30</v>
      </c>
      <c r="G639" s="6">
        <v>44000</v>
      </c>
      <c r="H639" s="633" t="str">
        <f>HYPERLINK("https://adv-map.ru/place/?LINK=26a44297ebfd8649eca0c3afadf61704","Ссылка")</f>
        <v>Ссылка</v>
      </c>
      <c r="I639" s="5" t="s">
        <v>682</v>
      </c>
    </row>
    <row r="640" spans="1:9" s="4" customFormat="1" ht="38.1" customHeight="1" outlineLevel="1" x14ac:dyDescent="0.2">
      <c r="A640" s="5" t="s">
        <v>340</v>
      </c>
      <c r="B640" s="5" t="s">
        <v>354</v>
      </c>
      <c r="C640" s="5" t="s">
        <v>681</v>
      </c>
      <c r="D640" s="5" t="s">
        <v>49</v>
      </c>
      <c r="E640" s="5" t="s">
        <v>13</v>
      </c>
      <c r="F640" s="5" t="s">
        <v>31</v>
      </c>
      <c r="G640" s="6">
        <v>44000</v>
      </c>
      <c r="H640" s="634" t="str">
        <f>HYPERLINK("https://adv-map.ru/place/?LINK=5ddd66f18f365d962718fc89926317f7","Ссылка")</f>
        <v>Ссылка</v>
      </c>
      <c r="I640" s="5" t="s">
        <v>682</v>
      </c>
    </row>
    <row r="641" spans="1:9" s="4" customFormat="1" ht="38.1" customHeight="1" outlineLevel="1" x14ac:dyDescent="0.2">
      <c r="A641" s="5" t="s">
        <v>340</v>
      </c>
      <c r="B641" s="5" t="s">
        <v>354</v>
      </c>
      <c r="C641" s="5" t="s">
        <v>681</v>
      </c>
      <c r="D641" s="5" t="s">
        <v>12</v>
      </c>
      <c r="E641" s="5" t="s">
        <v>13</v>
      </c>
      <c r="F641" s="5" t="s">
        <v>16</v>
      </c>
      <c r="G641" s="6">
        <v>35700</v>
      </c>
      <c r="H641" s="635" t="str">
        <f>HYPERLINK("https://adv-map.ru/place/?LINK=a782375bcaeaa896c56ded203556cefd","Ссылка")</f>
        <v>Ссылка</v>
      </c>
      <c r="I641" s="5" t="s">
        <v>682</v>
      </c>
    </row>
    <row r="642" spans="1:9" s="4" customFormat="1" ht="51" customHeight="1" outlineLevel="1" x14ac:dyDescent="0.2">
      <c r="A642" s="5" t="s">
        <v>340</v>
      </c>
      <c r="B642" s="5" t="s">
        <v>354</v>
      </c>
      <c r="C642" s="5" t="s">
        <v>683</v>
      </c>
      <c r="D642" s="5" t="s">
        <v>49</v>
      </c>
      <c r="E642" s="5" t="s">
        <v>13</v>
      </c>
      <c r="F642" s="5" t="s">
        <v>28</v>
      </c>
      <c r="G642" s="6">
        <v>47250</v>
      </c>
      <c r="H642" s="636" t="str">
        <f>HYPERLINK("https://adv-map.ru/place/?LINK=44d60b4bcc3eeed248d010609a4d8e1e","Ссылка")</f>
        <v>Ссылка</v>
      </c>
      <c r="I642" s="5" t="s">
        <v>684</v>
      </c>
    </row>
    <row r="643" spans="1:9" s="4" customFormat="1" ht="38.1" customHeight="1" outlineLevel="1" x14ac:dyDescent="0.2">
      <c r="A643" s="5" t="s">
        <v>340</v>
      </c>
      <c r="B643" s="5" t="s">
        <v>354</v>
      </c>
      <c r="C643" s="5" t="s">
        <v>683</v>
      </c>
      <c r="D643" s="5" t="s">
        <v>49</v>
      </c>
      <c r="E643" s="5" t="s">
        <v>13</v>
      </c>
      <c r="F643" s="5" t="s">
        <v>30</v>
      </c>
      <c r="G643" s="6">
        <v>47250</v>
      </c>
      <c r="H643" s="637" t="str">
        <f>HYPERLINK("https://adv-map.ru/place/?LINK=03b4df20e47dcd62195174d3e660dc6e","Ссылка")</f>
        <v>Ссылка</v>
      </c>
      <c r="I643" s="5" t="s">
        <v>684</v>
      </c>
    </row>
    <row r="644" spans="1:9" s="4" customFormat="1" ht="38.1" customHeight="1" outlineLevel="1" x14ac:dyDescent="0.2">
      <c r="A644" s="5" t="s">
        <v>340</v>
      </c>
      <c r="B644" s="5" t="s">
        <v>354</v>
      </c>
      <c r="C644" s="5" t="s">
        <v>683</v>
      </c>
      <c r="D644" s="5" t="s">
        <v>49</v>
      </c>
      <c r="E644" s="5" t="s">
        <v>13</v>
      </c>
      <c r="F644" s="5" t="s">
        <v>31</v>
      </c>
      <c r="G644" s="6">
        <v>47250</v>
      </c>
      <c r="H644" s="638" t="str">
        <f>HYPERLINK("https://adv-map.ru/place/?LINK=1d27c6e4dc408fcf78276c27d1726279","Ссылка")</f>
        <v>Ссылка</v>
      </c>
      <c r="I644" s="5" t="s">
        <v>684</v>
      </c>
    </row>
    <row r="645" spans="1:9" s="4" customFormat="1" ht="38.1" customHeight="1" outlineLevel="1" x14ac:dyDescent="0.2">
      <c r="A645" s="5" t="s">
        <v>340</v>
      </c>
      <c r="B645" s="5" t="s">
        <v>354</v>
      </c>
      <c r="C645" s="5" t="s">
        <v>683</v>
      </c>
      <c r="D645" s="5" t="s">
        <v>12</v>
      </c>
      <c r="E645" s="5" t="s">
        <v>13</v>
      </c>
      <c r="F645" s="5" t="s">
        <v>16</v>
      </c>
      <c r="G645" s="6">
        <v>31500</v>
      </c>
      <c r="H645" s="639" t="str">
        <f>HYPERLINK("https://adv-map.ru/place/?LINK=bd709b0c71bc7da81e0f04c95d8cfa03","Ссылка")</f>
        <v>Ссылка</v>
      </c>
      <c r="I645" s="5" t="s">
        <v>685</v>
      </c>
    </row>
    <row r="646" spans="1:9" s="4" customFormat="1" ht="38.1" customHeight="1" outlineLevel="1" x14ac:dyDescent="0.2">
      <c r="A646" s="5" t="s">
        <v>340</v>
      </c>
      <c r="B646" s="5" t="s">
        <v>354</v>
      </c>
      <c r="C646" s="5" t="s">
        <v>686</v>
      </c>
      <c r="D646" s="5" t="s">
        <v>405</v>
      </c>
      <c r="E646" s="5" t="s">
        <v>348</v>
      </c>
      <c r="F646" s="5" t="s">
        <v>14</v>
      </c>
      <c r="G646" s="6">
        <v>25200</v>
      </c>
      <c r="H646" s="640" t="str">
        <f>HYPERLINK("https://adv-map.ru/place/?LINK=665d08fa7351c2d7dd1784bb71f1d226","Ссылка")</f>
        <v>Ссылка</v>
      </c>
      <c r="I646" s="5" t="s">
        <v>687</v>
      </c>
    </row>
    <row r="647" spans="1:9" s="4" customFormat="1" ht="38.1" customHeight="1" outlineLevel="1" x14ac:dyDescent="0.2">
      <c r="A647" s="5" t="s">
        <v>340</v>
      </c>
      <c r="B647" s="5" t="s">
        <v>354</v>
      </c>
      <c r="C647" s="5" t="s">
        <v>686</v>
      </c>
      <c r="D647" s="5" t="s">
        <v>405</v>
      </c>
      <c r="E647" s="5" t="s">
        <v>348</v>
      </c>
      <c r="F647" s="5" t="s">
        <v>16</v>
      </c>
      <c r="G647" s="6">
        <v>20160</v>
      </c>
      <c r="H647" s="641" t="str">
        <f>HYPERLINK("https://adv-map.ru/place/?LINK=81dbc953cfd907f5dea47db3d4d6e385","Ссылка")</f>
        <v>Ссылка</v>
      </c>
      <c r="I647" s="5" t="s">
        <v>687</v>
      </c>
    </row>
    <row r="648" spans="1:9" s="4" customFormat="1" ht="38.1" customHeight="1" outlineLevel="1" x14ac:dyDescent="0.2">
      <c r="A648" s="5" t="s">
        <v>340</v>
      </c>
      <c r="B648" s="5" t="s">
        <v>354</v>
      </c>
      <c r="C648" s="5" t="s">
        <v>688</v>
      </c>
      <c r="D648" s="5" t="s">
        <v>347</v>
      </c>
      <c r="E648" s="5" t="s">
        <v>348</v>
      </c>
      <c r="F648" s="5" t="s">
        <v>14</v>
      </c>
      <c r="G648" s="6">
        <v>25200</v>
      </c>
      <c r="H648" s="642" t="str">
        <f>HYPERLINK("https://adv-map.ru/place/?LINK=aab8dcd37a91304fc06833dffe9bea8a","Ссылка")</f>
        <v>Ссылка</v>
      </c>
      <c r="I648" s="5" t="s">
        <v>689</v>
      </c>
    </row>
    <row r="649" spans="1:9" s="4" customFormat="1" ht="38.1" customHeight="1" outlineLevel="1" x14ac:dyDescent="0.2">
      <c r="A649" s="5" t="s">
        <v>340</v>
      </c>
      <c r="B649" s="5" t="s">
        <v>354</v>
      </c>
      <c r="C649" s="5" t="s">
        <v>688</v>
      </c>
      <c r="D649" s="5" t="s">
        <v>347</v>
      </c>
      <c r="E649" s="5" t="s">
        <v>348</v>
      </c>
      <c r="F649" s="5" t="s">
        <v>16</v>
      </c>
      <c r="G649" s="6">
        <v>20160</v>
      </c>
      <c r="H649" s="643" t="str">
        <f>HYPERLINK("https://adv-map.ru/place/?LINK=ca887c98b6c8f93fca9a1b3a50f7ecbc","Ссылка")</f>
        <v>Ссылка</v>
      </c>
      <c r="I649" s="5" t="s">
        <v>689</v>
      </c>
    </row>
    <row r="650" spans="1:9" s="4" customFormat="1" ht="38.1" customHeight="1" outlineLevel="1" x14ac:dyDescent="0.2">
      <c r="A650" s="5" t="s">
        <v>340</v>
      </c>
      <c r="B650" s="5" t="s">
        <v>354</v>
      </c>
      <c r="C650" s="5" t="s">
        <v>690</v>
      </c>
      <c r="D650" s="5" t="s">
        <v>49</v>
      </c>
      <c r="E650" s="5" t="s">
        <v>13</v>
      </c>
      <c r="F650" s="5" t="s">
        <v>28</v>
      </c>
      <c r="G650" s="6">
        <v>47250</v>
      </c>
      <c r="H650" s="644" t="str">
        <f>HYPERLINK("https://adv-map.ru/place/?LINK=f699ca3186ba480753833f8744e3e800","Ссылка")</f>
        <v>Ссылка</v>
      </c>
      <c r="I650" s="5" t="s">
        <v>691</v>
      </c>
    </row>
    <row r="651" spans="1:9" s="4" customFormat="1" ht="38.1" customHeight="1" outlineLevel="1" x14ac:dyDescent="0.2">
      <c r="A651" s="5" t="s">
        <v>340</v>
      </c>
      <c r="B651" s="5" t="s">
        <v>354</v>
      </c>
      <c r="C651" s="5" t="s">
        <v>690</v>
      </c>
      <c r="D651" s="5" t="s">
        <v>49</v>
      </c>
      <c r="E651" s="5" t="s">
        <v>13</v>
      </c>
      <c r="F651" s="5" t="s">
        <v>30</v>
      </c>
      <c r="G651" s="6">
        <v>47250</v>
      </c>
      <c r="H651" s="645" t="str">
        <f>HYPERLINK("https://adv-map.ru/place/?LINK=910b751acbadd80e21b7f1899f957d8e","Ссылка")</f>
        <v>Ссылка</v>
      </c>
      <c r="I651" s="5" t="s">
        <v>691</v>
      </c>
    </row>
    <row r="652" spans="1:9" s="4" customFormat="1" ht="38.1" customHeight="1" outlineLevel="1" x14ac:dyDescent="0.2">
      <c r="A652" s="5" t="s">
        <v>340</v>
      </c>
      <c r="B652" s="5" t="s">
        <v>354</v>
      </c>
      <c r="C652" s="5" t="s">
        <v>690</v>
      </c>
      <c r="D652" s="5" t="s">
        <v>49</v>
      </c>
      <c r="E652" s="5" t="s">
        <v>13</v>
      </c>
      <c r="F652" s="5" t="s">
        <v>31</v>
      </c>
      <c r="G652" s="6">
        <v>47250</v>
      </c>
      <c r="H652" s="646" t="str">
        <f>HYPERLINK("https://adv-map.ru/place/?LINK=2452f4c4275a61f035d25d85ef6202c8","Ссылка")</f>
        <v>Ссылка</v>
      </c>
      <c r="I652" s="5" t="s">
        <v>691</v>
      </c>
    </row>
    <row r="653" spans="1:9" s="4" customFormat="1" ht="38.1" customHeight="1" outlineLevel="1" x14ac:dyDescent="0.2">
      <c r="A653" s="5" t="s">
        <v>340</v>
      </c>
      <c r="B653" s="5" t="s">
        <v>354</v>
      </c>
      <c r="C653" s="5" t="s">
        <v>692</v>
      </c>
      <c r="D653" s="5" t="s">
        <v>12</v>
      </c>
      <c r="E653" s="5" t="s">
        <v>13</v>
      </c>
      <c r="F653" s="5" t="s">
        <v>16</v>
      </c>
      <c r="G653" s="6">
        <v>37800</v>
      </c>
      <c r="H653" s="647" t="str">
        <f>HYPERLINK("https://adv-map.ru/place/?LINK=4cb5d90dcf71380962d3149eac4a8b22","Ссылка")</f>
        <v>Ссылка</v>
      </c>
      <c r="I653" s="5" t="s">
        <v>691</v>
      </c>
    </row>
    <row r="654" spans="1:9" s="4" customFormat="1" ht="38.1" customHeight="1" outlineLevel="1" x14ac:dyDescent="0.2">
      <c r="A654" s="5" t="s">
        <v>340</v>
      </c>
      <c r="B654" s="5" t="s">
        <v>354</v>
      </c>
      <c r="C654" s="5" t="s">
        <v>693</v>
      </c>
      <c r="D654" s="5" t="s">
        <v>464</v>
      </c>
      <c r="E654" s="5" t="s">
        <v>13</v>
      </c>
      <c r="F654" s="5" t="s">
        <v>28</v>
      </c>
      <c r="G654" s="6">
        <v>56000</v>
      </c>
      <c r="H654" s="648" t="str">
        <f>HYPERLINK("https://adv-map.ru/place/?LINK=9fcd38449fce55aec140aace5ec1a811","Ссылка")</f>
        <v>Ссылка</v>
      </c>
      <c r="I654" s="5" t="s">
        <v>694</v>
      </c>
    </row>
    <row r="655" spans="1:9" s="4" customFormat="1" ht="38.1" customHeight="1" outlineLevel="1" x14ac:dyDescent="0.2">
      <c r="A655" s="5" t="s">
        <v>340</v>
      </c>
      <c r="B655" s="5" t="s">
        <v>354</v>
      </c>
      <c r="C655" s="5" t="s">
        <v>693</v>
      </c>
      <c r="D655" s="5" t="s">
        <v>464</v>
      </c>
      <c r="E655" s="5" t="s">
        <v>13</v>
      </c>
      <c r="F655" s="5" t="s">
        <v>466</v>
      </c>
      <c r="G655" s="6">
        <v>56000</v>
      </c>
      <c r="H655" s="649" t="str">
        <f>HYPERLINK("https://adv-map.ru/place/?LINK=1309b3cae716ae4f16c52ab65bc46c24","Ссылка")</f>
        <v>Ссылка</v>
      </c>
      <c r="I655" s="5" t="s">
        <v>694</v>
      </c>
    </row>
    <row r="656" spans="1:9" s="4" customFormat="1" ht="38.1" customHeight="1" outlineLevel="1" x14ac:dyDescent="0.2">
      <c r="A656" s="5" t="s">
        <v>340</v>
      </c>
      <c r="B656" s="5" t="s">
        <v>354</v>
      </c>
      <c r="C656" s="5" t="s">
        <v>693</v>
      </c>
      <c r="D656" s="5" t="s">
        <v>464</v>
      </c>
      <c r="E656" s="5" t="s">
        <v>13</v>
      </c>
      <c r="F656" s="5" t="s">
        <v>467</v>
      </c>
      <c r="G656" s="6">
        <v>56000</v>
      </c>
      <c r="H656" s="650" t="str">
        <f>HYPERLINK("https://adv-map.ru/place/?LINK=f1f8a820441fc5eac4469e30d0dccaa7","Ссылка")</f>
        <v>Ссылка</v>
      </c>
      <c r="I656" s="5" t="s">
        <v>694</v>
      </c>
    </row>
    <row r="657" spans="1:9" s="4" customFormat="1" ht="38.1" customHeight="1" outlineLevel="1" x14ac:dyDescent="0.2">
      <c r="A657" s="5" t="s">
        <v>340</v>
      </c>
      <c r="B657" s="5" t="s">
        <v>354</v>
      </c>
      <c r="C657" s="5" t="s">
        <v>693</v>
      </c>
      <c r="D657" s="5" t="s">
        <v>464</v>
      </c>
      <c r="E657" s="5" t="s">
        <v>13</v>
      </c>
      <c r="F657" s="5" t="s">
        <v>468</v>
      </c>
      <c r="G657" s="6">
        <v>56000</v>
      </c>
      <c r="H657" s="651" t="str">
        <f>HYPERLINK("https://adv-map.ru/place/?LINK=14e167eecdddaccc8309bfb9bf6a7016","Ссылка")</f>
        <v>Ссылка</v>
      </c>
      <c r="I657" s="5" t="s">
        <v>694</v>
      </c>
    </row>
    <row r="658" spans="1:9" s="4" customFormat="1" ht="38.1" customHeight="1" outlineLevel="1" x14ac:dyDescent="0.2">
      <c r="A658" s="5" t="s">
        <v>340</v>
      </c>
      <c r="B658" s="5" t="s">
        <v>354</v>
      </c>
      <c r="C658" s="5" t="s">
        <v>693</v>
      </c>
      <c r="D658" s="5" t="s">
        <v>464</v>
      </c>
      <c r="E658" s="5" t="s">
        <v>13</v>
      </c>
      <c r="F658" s="5" t="s">
        <v>30</v>
      </c>
      <c r="G658" s="6">
        <v>56000</v>
      </c>
      <c r="H658" s="652" t="str">
        <f>HYPERLINK("https://adv-map.ru/place/?LINK=cd54b84030758e1e555df90ae08a7825","Ссылка")</f>
        <v>Ссылка</v>
      </c>
      <c r="I658" s="5" t="s">
        <v>694</v>
      </c>
    </row>
    <row r="659" spans="1:9" s="4" customFormat="1" ht="38.1" customHeight="1" outlineLevel="1" x14ac:dyDescent="0.2">
      <c r="A659" s="5" t="s">
        <v>340</v>
      </c>
      <c r="B659" s="5" t="s">
        <v>354</v>
      </c>
      <c r="C659" s="5" t="s">
        <v>693</v>
      </c>
      <c r="D659" s="5" t="s">
        <v>464</v>
      </c>
      <c r="E659" s="5" t="s">
        <v>13</v>
      </c>
      <c r="F659" s="5" t="s">
        <v>31</v>
      </c>
      <c r="G659" s="6">
        <v>56000</v>
      </c>
      <c r="H659" s="653" t="str">
        <f>HYPERLINK("https://adv-map.ru/place/?LINK=e0356488e27d661eefcac746e478a71f","Ссылка")</f>
        <v>Ссылка</v>
      </c>
      <c r="I659" s="5" t="s">
        <v>694</v>
      </c>
    </row>
    <row r="660" spans="1:9" s="4" customFormat="1" ht="38.1" customHeight="1" outlineLevel="1" x14ac:dyDescent="0.2">
      <c r="A660" s="5" t="s">
        <v>340</v>
      </c>
      <c r="B660" s="5" t="s">
        <v>354</v>
      </c>
      <c r="C660" s="5" t="s">
        <v>693</v>
      </c>
      <c r="D660" s="5" t="s">
        <v>464</v>
      </c>
      <c r="E660" s="5" t="s">
        <v>13</v>
      </c>
      <c r="F660" s="5" t="s">
        <v>32</v>
      </c>
      <c r="G660" s="6">
        <v>56000</v>
      </c>
      <c r="H660" s="654" t="str">
        <f>HYPERLINK("https://adv-map.ru/place/?LINK=e442e9839f4cc113e2a2586b601ec9af","Ссылка")</f>
        <v>Ссылка</v>
      </c>
      <c r="I660" s="5" t="s">
        <v>694</v>
      </c>
    </row>
    <row r="661" spans="1:9" s="4" customFormat="1" ht="38.1" customHeight="1" outlineLevel="1" x14ac:dyDescent="0.2">
      <c r="A661" s="5" t="s">
        <v>340</v>
      </c>
      <c r="B661" s="5" t="s">
        <v>354</v>
      </c>
      <c r="C661" s="5" t="s">
        <v>693</v>
      </c>
      <c r="D661" s="5" t="s">
        <v>464</v>
      </c>
      <c r="E661" s="5" t="s">
        <v>13</v>
      </c>
      <c r="F661" s="5" t="s">
        <v>469</v>
      </c>
      <c r="G661" s="6">
        <v>56000</v>
      </c>
      <c r="H661" s="655" t="str">
        <f>HYPERLINK("https://adv-map.ru/place/?LINK=099662ddefafb177c111043c486d1961","Ссылка")</f>
        <v>Ссылка</v>
      </c>
      <c r="I661" s="5" t="s">
        <v>694</v>
      </c>
    </row>
    <row r="662" spans="1:9" s="4" customFormat="1" ht="38.1" customHeight="1" outlineLevel="1" x14ac:dyDescent="0.2">
      <c r="A662" s="5" t="s">
        <v>340</v>
      </c>
      <c r="B662" s="5" t="s">
        <v>354</v>
      </c>
      <c r="C662" s="5" t="s">
        <v>693</v>
      </c>
      <c r="D662" s="5" t="s">
        <v>464</v>
      </c>
      <c r="E662" s="5" t="s">
        <v>13</v>
      </c>
      <c r="F662" s="5" t="s">
        <v>470</v>
      </c>
      <c r="G662" s="6">
        <v>56000</v>
      </c>
      <c r="H662" s="656" t="str">
        <f>HYPERLINK("https://adv-map.ru/place/?LINK=fe42a169a211cbae92e2075667de075c","Ссылка")</f>
        <v>Ссылка</v>
      </c>
      <c r="I662" s="5" t="s">
        <v>694</v>
      </c>
    </row>
    <row r="663" spans="1:9" s="4" customFormat="1" ht="38.1" customHeight="1" outlineLevel="1" x14ac:dyDescent="0.2">
      <c r="A663" s="5" t="s">
        <v>340</v>
      </c>
      <c r="B663" s="5" t="s">
        <v>354</v>
      </c>
      <c r="C663" s="5" t="s">
        <v>693</v>
      </c>
      <c r="D663" s="5" t="s">
        <v>464</v>
      </c>
      <c r="E663" s="5" t="s">
        <v>13</v>
      </c>
      <c r="F663" s="5" t="s">
        <v>471</v>
      </c>
      <c r="G663" s="6">
        <v>56000</v>
      </c>
      <c r="H663" s="657" t="str">
        <f>HYPERLINK("https://adv-map.ru/place/?LINK=372a5cae7afcaf8cf2316f3ff822dae1","Ссылка")</f>
        <v>Ссылка</v>
      </c>
      <c r="I663" s="5" t="s">
        <v>694</v>
      </c>
    </row>
    <row r="664" spans="1:9" s="4" customFormat="1" ht="38.1" customHeight="1" outlineLevel="1" x14ac:dyDescent="0.2">
      <c r="A664" s="5" t="s">
        <v>340</v>
      </c>
      <c r="B664" s="5" t="s">
        <v>354</v>
      </c>
      <c r="C664" s="5" t="s">
        <v>693</v>
      </c>
      <c r="D664" s="5" t="s">
        <v>464</v>
      </c>
      <c r="E664" s="5" t="s">
        <v>13</v>
      </c>
      <c r="F664" s="5" t="s">
        <v>472</v>
      </c>
      <c r="G664" s="6">
        <v>56000</v>
      </c>
      <c r="H664" s="658" t="str">
        <f>HYPERLINK("https://adv-map.ru/place/?LINK=5fbb7a1b1088b01b2e615b4fcb70a7eb","Ссылка")</f>
        <v>Ссылка</v>
      </c>
      <c r="I664" s="5" t="s">
        <v>694</v>
      </c>
    </row>
    <row r="665" spans="1:9" s="4" customFormat="1" ht="38.1" customHeight="1" outlineLevel="1" x14ac:dyDescent="0.2">
      <c r="A665" s="5" t="s">
        <v>340</v>
      </c>
      <c r="B665" s="5" t="s">
        <v>354</v>
      </c>
      <c r="C665" s="5" t="s">
        <v>693</v>
      </c>
      <c r="D665" s="5" t="s">
        <v>464</v>
      </c>
      <c r="E665" s="5" t="s">
        <v>13</v>
      </c>
      <c r="F665" s="5" t="s">
        <v>473</v>
      </c>
      <c r="G665" s="6">
        <v>56000</v>
      </c>
      <c r="H665" s="659" t="str">
        <f>HYPERLINK("https://adv-map.ru/place/?LINK=f5fa2489149dc534ef42c68662f15931","Ссылка")</f>
        <v>Ссылка</v>
      </c>
      <c r="I665" s="5" t="s">
        <v>694</v>
      </c>
    </row>
    <row r="666" spans="1:9" s="4" customFormat="1" ht="38.1" customHeight="1" outlineLevel="1" x14ac:dyDescent="0.2">
      <c r="A666" s="5" t="s">
        <v>340</v>
      </c>
      <c r="B666" s="5" t="s">
        <v>354</v>
      </c>
      <c r="C666" s="5" t="s">
        <v>693</v>
      </c>
      <c r="D666" s="5" t="s">
        <v>464</v>
      </c>
      <c r="E666" s="5" t="s">
        <v>13</v>
      </c>
      <c r="F666" s="5" t="s">
        <v>33</v>
      </c>
      <c r="G666" s="6">
        <v>50400</v>
      </c>
      <c r="H666" s="660" t="str">
        <f>HYPERLINK("https://adv-map.ru/place/?LINK=ae14c7bba45151286f122dc2dc977c14","Ссылка")</f>
        <v>Ссылка</v>
      </c>
      <c r="I666" s="5" t="s">
        <v>695</v>
      </c>
    </row>
    <row r="667" spans="1:9" s="4" customFormat="1" ht="38.1" customHeight="1" outlineLevel="1" x14ac:dyDescent="0.2">
      <c r="A667" s="5" t="s">
        <v>340</v>
      </c>
      <c r="B667" s="5" t="s">
        <v>354</v>
      </c>
      <c r="C667" s="5" t="s">
        <v>693</v>
      </c>
      <c r="D667" s="5" t="s">
        <v>464</v>
      </c>
      <c r="E667" s="5" t="s">
        <v>13</v>
      </c>
      <c r="F667" s="5" t="s">
        <v>696</v>
      </c>
      <c r="G667" s="6">
        <v>50400</v>
      </c>
      <c r="H667" s="661" t="str">
        <f>HYPERLINK("https://adv-map.ru/place/?LINK=2825629d8de36758000dd5e7f40ebb77","Ссылка")</f>
        <v>Ссылка</v>
      </c>
      <c r="I667" s="5" t="s">
        <v>697</v>
      </c>
    </row>
    <row r="668" spans="1:9" s="4" customFormat="1" ht="38.1" customHeight="1" outlineLevel="1" x14ac:dyDescent="0.2">
      <c r="A668" s="5" t="s">
        <v>340</v>
      </c>
      <c r="B668" s="5" t="s">
        <v>354</v>
      </c>
      <c r="C668" s="5" t="s">
        <v>693</v>
      </c>
      <c r="D668" s="5" t="s">
        <v>464</v>
      </c>
      <c r="E668" s="5" t="s">
        <v>13</v>
      </c>
      <c r="F668" s="5" t="s">
        <v>698</v>
      </c>
      <c r="G668" s="6">
        <v>50400</v>
      </c>
      <c r="H668" s="661" t="str">
        <f>HYPERLINK("https://adv-map.ru/place/?LINK=2825629d8de36758000dd5e7f40ebb77","Ссылка")</f>
        <v>Ссылка</v>
      </c>
      <c r="I668" s="5" t="s">
        <v>695</v>
      </c>
    </row>
    <row r="669" spans="1:9" s="4" customFormat="1" ht="38.1" customHeight="1" outlineLevel="1" x14ac:dyDescent="0.2">
      <c r="A669" s="5" t="s">
        <v>340</v>
      </c>
      <c r="B669" s="5" t="s">
        <v>354</v>
      </c>
      <c r="C669" s="5" t="s">
        <v>693</v>
      </c>
      <c r="D669" s="5" t="s">
        <v>464</v>
      </c>
      <c r="E669" s="5" t="s">
        <v>13</v>
      </c>
      <c r="F669" s="5" t="s">
        <v>699</v>
      </c>
      <c r="G669" s="6">
        <v>50400</v>
      </c>
      <c r="H669" s="662" t="str">
        <f>HYPERLINK("https://adv-map.ru/place/?LINK=e14b8361e911fc161b6e08e2e0a65349","Ссылка")</f>
        <v>Ссылка</v>
      </c>
      <c r="I669" s="5" t="s">
        <v>697</v>
      </c>
    </row>
    <row r="670" spans="1:9" s="4" customFormat="1" ht="38.1" customHeight="1" outlineLevel="1" x14ac:dyDescent="0.2">
      <c r="A670" s="5" t="s">
        <v>340</v>
      </c>
      <c r="B670" s="5" t="s">
        <v>354</v>
      </c>
      <c r="C670" s="5" t="s">
        <v>693</v>
      </c>
      <c r="D670" s="5" t="s">
        <v>464</v>
      </c>
      <c r="E670" s="5" t="s">
        <v>13</v>
      </c>
      <c r="F670" s="5" t="s">
        <v>34</v>
      </c>
      <c r="G670" s="6">
        <v>50400</v>
      </c>
      <c r="H670" s="663" t="str">
        <f>HYPERLINK("https://adv-map.ru/place/?LINK=e2328fdd03e95660856a51a9d4cbb5ce","Ссылка")</f>
        <v>Ссылка</v>
      </c>
      <c r="I670" s="5" t="s">
        <v>697</v>
      </c>
    </row>
    <row r="671" spans="1:9" s="4" customFormat="1" ht="38.1" customHeight="1" outlineLevel="1" x14ac:dyDescent="0.2">
      <c r="A671" s="5" t="s">
        <v>340</v>
      </c>
      <c r="B671" s="5" t="s">
        <v>354</v>
      </c>
      <c r="C671" s="5" t="s">
        <v>693</v>
      </c>
      <c r="D671" s="5" t="s">
        <v>464</v>
      </c>
      <c r="E671" s="5" t="s">
        <v>13</v>
      </c>
      <c r="F671" s="5" t="s">
        <v>35</v>
      </c>
      <c r="G671" s="6">
        <v>50400</v>
      </c>
      <c r="H671" s="664" t="str">
        <f>HYPERLINK("https://adv-map.ru/place/?LINK=eb69dda619bfe40f9a3d6fe93147f29f","Ссылка")</f>
        <v>Ссылка</v>
      </c>
      <c r="I671" s="5" t="s">
        <v>695</v>
      </c>
    </row>
    <row r="672" spans="1:9" s="4" customFormat="1" ht="38.1" customHeight="1" outlineLevel="1" x14ac:dyDescent="0.2">
      <c r="A672" s="5" t="s">
        <v>340</v>
      </c>
      <c r="B672" s="5" t="s">
        <v>354</v>
      </c>
      <c r="C672" s="5" t="s">
        <v>693</v>
      </c>
      <c r="D672" s="5" t="s">
        <v>464</v>
      </c>
      <c r="E672" s="5" t="s">
        <v>13</v>
      </c>
      <c r="F672" s="5" t="s">
        <v>36</v>
      </c>
      <c r="G672" s="6">
        <v>50400</v>
      </c>
      <c r="H672" s="665" t="str">
        <f>HYPERLINK("https://adv-map.ru/place/?LINK=237c77676bfa6fadf6d837cc0b068455","Ссылка")</f>
        <v>Ссылка</v>
      </c>
      <c r="I672" s="5" t="s">
        <v>697</v>
      </c>
    </row>
    <row r="673" spans="1:9" s="4" customFormat="1" ht="38.1" customHeight="1" outlineLevel="1" x14ac:dyDescent="0.2">
      <c r="A673" s="5" t="s">
        <v>340</v>
      </c>
      <c r="B673" s="5" t="s">
        <v>354</v>
      </c>
      <c r="C673" s="5" t="s">
        <v>693</v>
      </c>
      <c r="D673" s="5" t="s">
        <v>464</v>
      </c>
      <c r="E673" s="5" t="s">
        <v>13</v>
      </c>
      <c r="F673" s="5" t="s">
        <v>700</v>
      </c>
      <c r="G673" s="6">
        <v>50400</v>
      </c>
      <c r="H673" s="666" t="str">
        <f>HYPERLINK("https://adv-map.ru/place/?LINK=c0811361a45194be19e95ea5f103e68a","Ссылка")</f>
        <v>Ссылка</v>
      </c>
      <c r="I673" s="5" t="s">
        <v>695</v>
      </c>
    </row>
    <row r="674" spans="1:9" s="4" customFormat="1" ht="38.1" customHeight="1" outlineLevel="1" x14ac:dyDescent="0.2">
      <c r="A674" s="5" t="s">
        <v>340</v>
      </c>
      <c r="B674" s="5" t="s">
        <v>354</v>
      </c>
      <c r="C674" s="5" t="s">
        <v>693</v>
      </c>
      <c r="D674" s="5" t="s">
        <v>464</v>
      </c>
      <c r="E674" s="5" t="s">
        <v>13</v>
      </c>
      <c r="F674" s="5" t="s">
        <v>701</v>
      </c>
      <c r="G674" s="6">
        <v>50400</v>
      </c>
      <c r="H674" s="667" t="str">
        <f>HYPERLINK("https://adv-map.ru/place/?LINK=9925fef232294f342f8cb8e0fe48cd4f","Ссылка")</f>
        <v>Ссылка</v>
      </c>
      <c r="I674" s="5" t="s">
        <v>697</v>
      </c>
    </row>
    <row r="675" spans="1:9" s="4" customFormat="1" ht="38.1" customHeight="1" outlineLevel="1" x14ac:dyDescent="0.2">
      <c r="A675" s="5" t="s">
        <v>340</v>
      </c>
      <c r="B675" s="5" t="s">
        <v>354</v>
      </c>
      <c r="C675" s="5" t="s">
        <v>693</v>
      </c>
      <c r="D675" s="5" t="s">
        <v>464</v>
      </c>
      <c r="E675" s="5" t="s">
        <v>13</v>
      </c>
      <c r="F675" s="5" t="s">
        <v>702</v>
      </c>
      <c r="G675" s="6">
        <v>50400</v>
      </c>
      <c r="H675" s="668" t="str">
        <f>HYPERLINK("https://adv-map.ru/place/?LINK=34add3a85302eadb4cb5921e7025d774","Ссылка")</f>
        <v>Ссылка</v>
      </c>
      <c r="I675" s="5" t="s">
        <v>697</v>
      </c>
    </row>
    <row r="676" spans="1:9" s="4" customFormat="1" ht="38.1" customHeight="1" outlineLevel="1" x14ac:dyDescent="0.2">
      <c r="A676" s="5" t="s">
        <v>340</v>
      </c>
      <c r="B676" s="5" t="s">
        <v>354</v>
      </c>
      <c r="C676" s="5" t="s">
        <v>693</v>
      </c>
      <c r="D676" s="5" t="s">
        <v>464</v>
      </c>
      <c r="E676" s="5" t="s">
        <v>13</v>
      </c>
      <c r="F676" s="5" t="s">
        <v>703</v>
      </c>
      <c r="G676" s="6">
        <v>50400</v>
      </c>
      <c r="H676" s="669" t="str">
        <f>HYPERLINK("https://adv-map.ru/place/?LINK=8b79cd45f137a1945b4d224d34e9afb4","Ссылка")</f>
        <v>Ссылка</v>
      </c>
      <c r="I676" s="5" t="s">
        <v>697</v>
      </c>
    </row>
    <row r="677" spans="1:9" s="4" customFormat="1" ht="38.1" customHeight="1" outlineLevel="1" x14ac:dyDescent="0.2">
      <c r="A677" s="5" t="s">
        <v>340</v>
      </c>
      <c r="B677" s="5" t="s">
        <v>354</v>
      </c>
      <c r="C677" s="5" t="s">
        <v>693</v>
      </c>
      <c r="D677" s="5" t="s">
        <v>464</v>
      </c>
      <c r="E677" s="5" t="s">
        <v>13</v>
      </c>
      <c r="F677" s="5" t="s">
        <v>704</v>
      </c>
      <c r="G677" s="6">
        <v>50400</v>
      </c>
      <c r="H677" s="670" t="str">
        <f>HYPERLINK("https://adv-map.ru/place/?LINK=20481300c77feb116488f740fa727cee","Ссылка")</f>
        <v>Ссылка</v>
      </c>
      <c r="I677" s="5" t="s">
        <v>695</v>
      </c>
    </row>
    <row r="678" spans="1:9" s="4" customFormat="1" ht="38.1" customHeight="1" outlineLevel="1" x14ac:dyDescent="0.2">
      <c r="A678" s="5" t="s">
        <v>340</v>
      </c>
      <c r="B678" s="5" t="s">
        <v>354</v>
      </c>
      <c r="C678" s="5" t="s">
        <v>705</v>
      </c>
      <c r="D678" s="5" t="s">
        <v>347</v>
      </c>
      <c r="E678" s="5" t="s">
        <v>348</v>
      </c>
      <c r="F678" s="5" t="s">
        <v>14</v>
      </c>
      <c r="G678" s="6">
        <v>25200</v>
      </c>
      <c r="H678" s="671" t="str">
        <f>HYPERLINK("https://adv-map.ru/place/?LINK=eaa5f169a444157fa57f60286cadf98d","Ссылка")</f>
        <v>Ссылка</v>
      </c>
      <c r="I678" s="5" t="s">
        <v>706</v>
      </c>
    </row>
    <row r="679" spans="1:9" s="4" customFormat="1" ht="38.1" customHeight="1" outlineLevel="1" x14ac:dyDescent="0.2">
      <c r="A679" s="5" t="s">
        <v>340</v>
      </c>
      <c r="B679" s="5" t="s">
        <v>354</v>
      </c>
      <c r="C679" s="5" t="s">
        <v>705</v>
      </c>
      <c r="D679" s="5" t="s">
        <v>347</v>
      </c>
      <c r="E679" s="5" t="s">
        <v>348</v>
      </c>
      <c r="F679" s="5" t="s">
        <v>16</v>
      </c>
      <c r="G679" s="6">
        <v>20160</v>
      </c>
      <c r="H679" s="672" t="str">
        <f>HYPERLINK("https://adv-map.ru/place/?LINK=4c921b75d687bd2b98de8f636a9d9f7a","Ссылка")</f>
        <v>Ссылка</v>
      </c>
      <c r="I679" s="5" t="s">
        <v>706</v>
      </c>
    </row>
    <row r="680" spans="1:9" s="4" customFormat="1" ht="38.1" customHeight="1" outlineLevel="1" x14ac:dyDescent="0.2">
      <c r="A680" s="5" t="s">
        <v>340</v>
      </c>
      <c r="B680" s="5" t="s">
        <v>354</v>
      </c>
      <c r="C680" s="5" t="s">
        <v>707</v>
      </c>
      <c r="D680" s="5" t="s">
        <v>347</v>
      </c>
      <c r="E680" s="5" t="s">
        <v>348</v>
      </c>
      <c r="F680" s="5" t="s">
        <v>14</v>
      </c>
      <c r="G680" s="6">
        <v>25200</v>
      </c>
      <c r="H680" s="673" t="str">
        <f>HYPERLINK("https://adv-map.ru/place/?LINK=8a1d7626818ea0d1941739bcc3ddfdfe","Ссылка")</f>
        <v>Ссылка</v>
      </c>
      <c r="I680" s="5" t="s">
        <v>708</v>
      </c>
    </row>
    <row r="681" spans="1:9" s="4" customFormat="1" ht="38.1" customHeight="1" outlineLevel="1" x14ac:dyDescent="0.2">
      <c r="A681" s="5" t="s">
        <v>340</v>
      </c>
      <c r="B681" s="5" t="s">
        <v>354</v>
      </c>
      <c r="C681" s="5" t="s">
        <v>707</v>
      </c>
      <c r="D681" s="5" t="s">
        <v>347</v>
      </c>
      <c r="E681" s="5" t="s">
        <v>348</v>
      </c>
      <c r="F681" s="5" t="s">
        <v>16</v>
      </c>
      <c r="G681" s="6">
        <v>20160</v>
      </c>
      <c r="H681" s="674" t="str">
        <f>HYPERLINK("https://adv-map.ru/place/?LINK=08baf9ec886524b5be3319e5a749aebf","Ссылка")</f>
        <v>Ссылка</v>
      </c>
      <c r="I681" s="5" t="s">
        <v>708</v>
      </c>
    </row>
    <row r="682" spans="1:9" s="4" customFormat="1" ht="38.1" customHeight="1" outlineLevel="1" x14ac:dyDescent="0.2">
      <c r="A682" s="5" t="s">
        <v>340</v>
      </c>
      <c r="B682" s="5" t="s">
        <v>354</v>
      </c>
      <c r="C682" s="5" t="s">
        <v>709</v>
      </c>
      <c r="D682" s="5" t="s">
        <v>347</v>
      </c>
      <c r="E682" s="5" t="s">
        <v>348</v>
      </c>
      <c r="F682" s="5" t="s">
        <v>14</v>
      </c>
      <c r="G682" s="6">
        <v>25200</v>
      </c>
      <c r="H682" s="675" t="str">
        <f>HYPERLINK("https://adv-map.ru/place/?LINK=f48a3d5c734408e025ae2298e9b12be5","Ссылка")</f>
        <v>Ссылка</v>
      </c>
      <c r="I682" s="5" t="s">
        <v>710</v>
      </c>
    </row>
    <row r="683" spans="1:9" s="4" customFormat="1" ht="38.1" customHeight="1" outlineLevel="1" x14ac:dyDescent="0.2">
      <c r="A683" s="5" t="s">
        <v>340</v>
      </c>
      <c r="B683" s="5" t="s">
        <v>354</v>
      </c>
      <c r="C683" s="5" t="s">
        <v>709</v>
      </c>
      <c r="D683" s="5" t="s">
        <v>347</v>
      </c>
      <c r="E683" s="5" t="s">
        <v>348</v>
      </c>
      <c r="F683" s="5" t="s">
        <v>16</v>
      </c>
      <c r="G683" s="6">
        <v>20160</v>
      </c>
      <c r="H683" s="676" t="str">
        <f>HYPERLINK("https://adv-map.ru/place/?LINK=59ee52ca1a20f178eaa5ee815febfd5f","Ссылка")</f>
        <v>Ссылка</v>
      </c>
      <c r="I683" s="5" t="s">
        <v>710</v>
      </c>
    </row>
    <row r="684" spans="1:9" s="4" customFormat="1" ht="38.1" customHeight="1" outlineLevel="1" x14ac:dyDescent="0.2">
      <c r="A684" s="5" t="s">
        <v>340</v>
      </c>
      <c r="B684" s="5" t="s">
        <v>354</v>
      </c>
      <c r="C684" s="5" t="s">
        <v>711</v>
      </c>
      <c r="D684" s="5" t="s">
        <v>12</v>
      </c>
      <c r="E684" s="5" t="s">
        <v>13</v>
      </c>
      <c r="F684" s="5" t="s">
        <v>14</v>
      </c>
      <c r="G684" s="6">
        <v>42000</v>
      </c>
      <c r="H684" s="677" t="str">
        <f>HYPERLINK("https://adv-map.ru/place/?LINK=51f01c9b6418dc419fcc3a26eb4cdf0c","Ссылка")</f>
        <v>Ссылка</v>
      </c>
      <c r="I684" s="5" t="s">
        <v>712</v>
      </c>
    </row>
    <row r="685" spans="1:9" s="4" customFormat="1" ht="38.1" customHeight="1" outlineLevel="1" x14ac:dyDescent="0.2">
      <c r="A685" s="5" t="s">
        <v>340</v>
      </c>
      <c r="B685" s="5" t="s">
        <v>354</v>
      </c>
      <c r="C685" s="5" t="s">
        <v>713</v>
      </c>
      <c r="D685" s="5" t="s">
        <v>49</v>
      </c>
      <c r="E685" s="5" t="s">
        <v>13</v>
      </c>
      <c r="F685" s="5" t="s">
        <v>28</v>
      </c>
      <c r="G685" s="6">
        <v>47250</v>
      </c>
      <c r="H685" s="678" t="str">
        <f>HYPERLINK("https://adv-map.ru/place/?LINK=5f61604c53e23e6c40355b38169d29a4","Ссылка")</f>
        <v>Ссылка</v>
      </c>
      <c r="I685" s="5" t="s">
        <v>714</v>
      </c>
    </row>
    <row r="686" spans="1:9" s="4" customFormat="1" ht="38.1" customHeight="1" outlineLevel="1" x14ac:dyDescent="0.2">
      <c r="A686" s="5" t="s">
        <v>340</v>
      </c>
      <c r="B686" s="5" t="s">
        <v>354</v>
      </c>
      <c r="C686" s="5" t="s">
        <v>713</v>
      </c>
      <c r="D686" s="5" t="s">
        <v>49</v>
      </c>
      <c r="E686" s="5" t="s">
        <v>13</v>
      </c>
      <c r="F686" s="5" t="s">
        <v>30</v>
      </c>
      <c r="G686" s="6">
        <v>47250</v>
      </c>
      <c r="H686" s="679" t="str">
        <f>HYPERLINK("https://adv-map.ru/place/?LINK=df6d18394c8800d6537d3139091791f7","Ссылка")</f>
        <v>Ссылка</v>
      </c>
      <c r="I686" s="5" t="s">
        <v>714</v>
      </c>
    </row>
    <row r="687" spans="1:9" s="4" customFormat="1" ht="38.1" customHeight="1" outlineLevel="1" x14ac:dyDescent="0.2">
      <c r="A687" s="5" t="s">
        <v>340</v>
      </c>
      <c r="B687" s="5" t="s">
        <v>354</v>
      </c>
      <c r="C687" s="5" t="s">
        <v>713</v>
      </c>
      <c r="D687" s="5" t="s">
        <v>49</v>
      </c>
      <c r="E687" s="5" t="s">
        <v>13</v>
      </c>
      <c r="F687" s="5" t="s">
        <v>31</v>
      </c>
      <c r="G687" s="6">
        <v>47250</v>
      </c>
      <c r="H687" s="680" t="str">
        <f>HYPERLINK("https://adv-map.ru/place/?LINK=76bd4b7f4abd3a2c3499a6e4691a3770","Ссылка")</f>
        <v>Ссылка</v>
      </c>
      <c r="I687" s="5" t="s">
        <v>714</v>
      </c>
    </row>
    <row r="688" spans="1:9" s="4" customFormat="1" ht="38.1" customHeight="1" outlineLevel="1" x14ac:dyDescent="0.2">
      <c r="A688" s="5" t="s">
        <v>340</v>
      </c>
      <c r="B688" s="5" t="s">
        <v>354</v>
      </c>
      <c r="C688" s="5" t="s">
        <v>713</v>
      </c>
      <c r="D688" s="5" t="s">
        <v>49</v>
      </c>
      <c r="E688" s="5" t="s">
        <v>13</v>
      </c>
      <c r="F688" s="5" t="s">
        <v>33</v>
      </c>
      <c r="G688" s="6">
        <v>35280</v>
      </c>
      <c r="H688" s="681" t="str">
        <f>HYPERLINK("https://adv-map.ru/place/?LINK=7fc66c95b2b4a997b3fbd5d8bce3c6ec","Ссылка")</f>
        <v>Ссылка</v>
      </c>
      <c r="I688" s="5" t="s">
        <v>715</v>
      </c>
    </row>
    <row r="689" spans="1:9" s="4" customFormat="1" ht="38.1" customHeight="1" outlineLevel="1" x14ac:dyDescent="0.2">
      <c r="A689" s="5" t="s">
        <v>340</v>
      </c>
      <c r="B689" s="5" t="s">
        <v>354</v>
      </c>
      <c r="C689" s="5" t="s">
        <v>713</v>
      </c>
      <c r="D689" s="5" t="s">
        <v>49</v>
      </c>
      <c r="E689" s="5" t="s">
        <v>13</v>
      </c>
      <c r="F689" s="5" t="s">
        <v>34</v>
      </c>
      <c r="G689" s="6">
        <v>35280</v>
      </c>
      <c r="H689" s="682" t="str">
        <f>HYPERLINK("https://adv-map.ru/place/?LINK=5c35dd08847b0bb425f85a5d402e93db","Ссылка")</f>
        <v>Ссылка</v>
      </c>
      <c r="I689" s="5" t="s">
        <v>716</v>
      </c>
    </row>
    <row r="690" spans="1:9" s="4" customFormat="1" ht="38.1" customHeight="1" outlineLevel="1" x14ac:dyDescent="0.2">
      <c r="A690" s="5" t="s">
        <v>340</v>
      </c>
      <c r="B690" s="5" t="s">
        <v>354</v>
      </c>
      <c r="C690" s="5" t="s">
        <v>713</v>
      </c>
      <c r="D690" s="5" t="s">
        <v>49</v>
      </c>
      <c r="E690" s="5" t="s">
        <v>13</v>
      </c>
      <c r="F690" s="5" t="s">
        <v>35</v>
      </c>
      <c r="G690" s="6">
        <v>35280</v>
      </c>
      <c r="H690" s="683" t="str">
        <f>HYPERLINK("https://adv-map.ru/place/?LINK=815364b82b527dde0ab341dac6923f83","Ссылка")</f>
        <v>Ссылка</v>
      </c>
      <c r="I690" s="5" t="s">
        <v>717</v>
      </c>
    </row>
    <row r="691" spans="1:9" s="4" customFormat="1" ht="38.1" customHeight="1" outlineLevel="1" x14ac:dyDescent="0.2">
      <c r="A691" s="5" t="s">
        <v>340</v>
      </c>
      <c r="B691" s="5" t="s">
        <v>354</v>
      </c>
      <c r="C691" s="5" t="s">
        <v>718</v>
      </c>
      <c r="D691" s="5" t="s">
        <v>49</v>
      </c>
      <c r="E691" s="5" t="s">
        <v>13</v>
      </c>
      <c r="F691" s="5" t="s">
        <v>28</v>
      </c>
      <c r="G691" s="6">
        <v>47250</v>
      </c>
      <c r="H691" s="684" t="str">
        <f>HYPERLINK("https://adv-map.ru/place/?LINK=cd8c1362b0e71847685ad8bec27c0020","Ссылка")</f>
        <v>Ссылка</v>
      </c>
      <c r="I691" s="5" t="s">
        <v>719</v>
      </c>
    </row>
    <row r="692" spans="1:9" s="4" customFormat="1" ht="38.1" customHeight="1" outlineLevel="1" x14ac:dyDescent="0.2">
      <c r="A692" s="5" t="s">
        <v>340</v>
      </c>
      <c r="B692" s="5" t="s">
        <v>354</v>
      </c>
      <c r="C692" s="5" t="s">
        <v>718</v>
      </c>
      <c r="D692" s="5" t="s">
        <v>49</v>
      </c>
      <c r="E692" s="5" t="s">
        <v>13</v>
      </c>
      <c r="F692" s="5" t="s">
        <v>30</v>
      </c>
      <c r="G692" s="6">
        <v>47250</v>
      </c>
      <c r="H692" s="685" t="str">
        <f>HYPERLINK("https://adv-map.ru/place/?LINK=521ee08b4611037a45cffe637975b32c","Ссылка")</f>
        <v>Ссылка</v>
      </c>
      <c r="I692" s="5" t="s">
        <v>719</v>
      </c>
    </row>
    <row r="693" spans="1:9" s="4" customFormat="1" ht="38.1" customHeight="1" outlineLevel="1" x14ac:dyDescent="0.2">
      <c r="A693" s="5" t="s">
        <v>340</v>
      </c>
      <c r="B693" s="5" t="s">
        <v>354</v>
      </c>
      <c r="C693" s="5" t="s">
        <v>718</v>
      </c>
      <c r="D693" s="5" t="s">
        <v>49</v>
      </c>
      <c r="E693" s="5" t="s">
        <v>13</v>
      </c>
      <c r="F693" s="5" t="s">
        <v>31</v>
      </c>
      <c r="G693" s="6">
        <v>47250</v>
      </c>
      <c r="H693" s="686" t="str">
        <f>HYPERLINK("https://adv-map.ru/place/?LINK=2e960d9ed6ad53bed5d7c7956e4323a3","Ссылка")</f>
        <v>Ссылка</v>
      </c>
      <c r="I693" s="5" t="s">
        <v>719</v>
      </c>
    </row>
    <row r="694" spans="1:9" s="4" customFormat="1" ht="38.1" customHeight="1" outlineLevel="1" x14ac:dyDescent="0.2">
      <c r="A694" s="5" t="s">
        <v>340</v>
      </c>
      <c r="B694" s="5" t="s">
        <v>354</v>
      </c>
      <c r="C694" s="5" t="s">
        <v>718</v>
      </c>
      <c r="D694" s="5" t="s">
        <v>12</v>
      </c>
      <c r="E694" s="5" t="s">
        <v>13</v>
      </c>
      <c r="F694" s="5" t="s">
        <v>16</v>
      </c>
      <c r="G694" s="6">
        <v>37800</v>
      </c>
      <c r="H694" s="687" t="str">
        <f>HYPERLINK("https://adv-map.ru/place/?LINK=a136748c5306f56db200ce75681eafb3","Ссылка")</f>
        <v>Ссылка</v>
      </c>
      <c r="I694" s="5" t="s">
        <v>719</v>
      </c>
    </row>
    <row r="695" spans="1:9" s="4" customFormat="1" ht="38.1" customHeight="1" outlineLevel="1" x14ac:dyDescent="0.2">
      <c r="A695" s="5" t="s">
        <v>340</v>
      </c>
      <c r="B695" s="5" t="s">
        <v>354</v>
      </c>
      <c r="C695" s="5" t="s">
        <v>720</v>
      </c>
      <c r="D695" s="5" t="s">
        <v>12</v>
      </c>
      <c r="E695" s="5" t="s">
        <v>13</v>
      </c>
      <c r="F695" s="5" t="s">
        <v>14</v>
      </c>
      <c r="G695" s="6">
        <v>46200</v>
      </c>
      <c r="H695" s="688" t="str">
        <f>HYPERLINK("https://adv-map.ru/place/?LINK=40973a539bcc1c6605e7c73f18ebb664","Ссылка")</f>
        <v>Ссылка</v>
      </c>
      <c r="I695" s="5" t="s">
        <v>721</v>
      </c>
    </row>
    <row r="696" spans="1:9" s="4" customFormat="1" ht="38.1" customHeight="1" outlineLevel="1" x14ac:dyDescent="0.2">
      <c r="A696" s="5" t="s">
        <v>340</v>
      </c>
      <c r="B696" s="5" t="s">
        <v>354</v>
      </c>
      <c r="C696" s="5" t="s">
        <v>720</v>
      </c>
      <c r="D696" s="5" t="s">
        <v>12</v>
      </c>
      <c r="E696" s="5" t="s">
        <v>13</v>
      </c>
      <c r="F696" s="5" t="s">
        <v>16</v>
      </c>
      <c r="G696" s="6">
        <v>37800</v>
      </c>
      <c r="H696" s="689" t="str">
        <f>HYPERLINK("https://adv-map.ru/place/?LINK=0936187081861459ef5a2865c2b12a0b","Ссылка")</f>
        <v>Ссылка</v>
      </c>
      <c r="I696" s="5" t="s">
        <v>721</v>
      </c>
    </row>
    <row r="697" spans="1:9" s="4" customFormat="1" ht="51" customHeight="1" outlineLevel="1" x14ac:dyDescent="0.2">
      <c r="A697" s="5" t="s">
        <v>340</v>
      </c>
      <c r="B697" s="5" t="s">
        <v>354</v>
      </c>
      <c r="C697" s="5" t="s">
        <v>722</v>
      </c>
      <c r="D697" s="5" t="s">
        <v>347</v>
      </c>
      <c r="E697" s="5" t="s">
        <v>348</v>
      </c>
      <c r="F697" s="5" t="s">
        <v>14</v>
      </c>
      <c r="G697" s="6">
        <v>20160</v>
      </c>
      <c r="H697" s="690" t="str">
        <f>HYPERLINK("https://adv-map.ru/place/?LINK=5bd9868a271c270e250915ab7b876e40","Ссылка")</f>
        <v>Ссылка</v>
      </c>
      <c r="I697" s="5" t="s">
        <v>723</v>
      </c>
    </row>
    <row r="698" spans="1:9" s="4" customFormat="1" ht="38.1" customHeight="1" outlineLevel="1" x14ac:dyDescent="0.2">
      <c r="A698" s="5" t="s">
        <v>340</v>
      </c>
      <c r="B698" s="5" t="s">
        <v>354</v>
      </c>
      <c r="C698" s="5" t="s">
        <v>722</v>
      </c>
      <c r="D698" s="5" t="s">
        <v>347</v>
      </c>
      <c r="E698" s="5" t="s">
        <v>348</v>
      </c>
      <c r="F698" s="5" t="s">
        <v>16</v>
      </c>
      <c r="G698" s="6">
        <v>17640</v>
      </c>
      <c r="H698" s="691" t="str">
        <f>HYPERLINK("https://adv-map.ru/place/?LINK=72bc86dba6e91ca17dd921589b9d8038","Ссылка")</f>
        <v>Ссылка</v>
      </c>
      <c r="I698" s="5" t="s">
        <v>723</v>
      </c>
    </row>
    <row r="699" spans="1:9" s="4" customFormat="1" ht="38.1" customHeight="1" outlineLevel="1" x14ac:dyDescent="0.2">
      <c r="A699" s="5" t="s">
        <v>340</v>
      </c>
      <c r="B699" s="5" t="s">
        <v>354</v>
      </c>
      <c r="C699" s="5" t="s">
        <v>724</v>
      </c>
      <c r="D699" s="5" t="s">
        <v>347</v>
      </c>
      <c r="E699" s="5" t="s">
        <v>348</v>
      </c>
      <c r="F699" s="5" t="s">
        <v>14</v>
      </c>
      <c r="G699" s="6">
        <v>20160</v>
      </c>
      <c r="H699" s="692" t="str">
        <f>HYPERLINK("https://adv-map.ru/place/?LINK=0b806e0c12bff1938723b2b781caddbb","Ссылка")</f>
        <v>Ссылка</v>
      </c>
      <c r="I699" s="5" t="s">
        <v>725</v>
      </c>
    </row>
    <row r="700" spans="1:9" s="4" customFormat="1" ht="38.1" customHeight="1" outlineLevel="1" x14ac:dyDescent="0.2">
      <c r="A700" s="5" t="s">
        <v>340</v>
      </c>
      <c r="B700" s="5" t="s">
        <v>354</v>
      </c>
      <c r="C700" s="5" t="s">
        <v>724</v>
      </c>
      <c r="D700" s="5" t="s">
        <v>347</v>
      </c>
      <c r="E700" s="5" t="s">
        <v>348</v>
      </c>
      <c r="F700" s="5" t="s">
        <v>16</v>
      </c>
      <c r="G700" s="6">
        <v>17640</v>
      </c>
      <c r="H700" s="693" t="str">
        <f>HYPERLINK("https://adv-map.ru/place/?LINK=b53aea25948fcd1eeba199086f7e5768","Ссылка")</f>
        <v>Ссылка</v>
      </c>
      <c r="I700" s="5" t="s">
        <v>726</v>
      </c>
    </row>
    <row r="701" spans="1:9" s="4" customFormat="1" ht="38.1" customHeight="1" outlineLevel="1" x14ac:dyDescent="0.2">
      <c r="A701" s="5" t="s">
        <v>340</v>
      </c>
      <c r="B701" s="5" t="s">
        <v>354</v>
      </c>
      <c r="C701" s="5" t="s">
        <v>727</v>
      </c>
      <c r="D701" s="5" t="s">
        <v>347</v>
      </c>
      <c r="E701" s="5" t="s">
        <v>348</v>
      </c>
      <c r="F701" s="5" t="s">
        <v>14</v>
      </c>
      <c r="G701" s="6">
        <v>20160</v>
      </c>
      <c r="H701" s="694" t="str">
        <f>HYPERLINK("https://adv-map.ru/place/?LINK=48c178926695fd5309911f9a2377ec3d","Ссылка")</f>
        <v>Ссылка</v>
      </c>
      <c r="I701" s="5" t="s">
        <v>728</v>
      </c>
    </row>
    <row r="702" spans="1:9" s="4" customFormat="1" ht="38.1" customHeight="1" outlineLevel="1" x14ac:dyDescent="0.2">
      <c r="A702" s="5" t="s">
        <v>340</v>
      </c>
      <c r="B702" s="5" t="s">
        <v>354</v>
      </c>
      <c r="C702" s="5" t="s">
        <v>727</v>
      </c>
      <c r="D702" s="5" t="s">
        <v>347</v>
      </c>
      <c r="E702" s="5" t="s">
        <v>348</v>
      </c>
      <c r="F702" s="5" t="s">
        <v>16</v>
      </c>
      <c r="G702" s="6">
        <v>17640</v>
      </c>
      <c r="H702" s="695" t="str">
        <f>HYPERLINK("https://adv-map.ru/place/?LINK=f3c58ca519d526ed0274d311601ad95b","Ссылка")</f>
        <v>Ссылка</v>
      </c>
      <c r="I702" s="5" t="s">
        <v>728</v>
      </c>
    </row>
    <row r="703" spans="1:9" s="4" customFormat="1" ht="38.1" customHeight="1" outlineLevel="1" x14ac:dyDescent="0.2">
      <c r="A703" s="5" t="s">
        <v>340</v>
      </c>
      <c r="B703" s="5" t="s">
        <v>354</v>
      </c>
      <c r="C703" s="5" t="s">
        <v>729</v>
      </c>
      <c r="D703" s="5" t="s">
        <v>347</v>
      </c>
      <c r="E703" s="5" t="s">
        <v>348</v>
      </c>
      <c r="F703" s="5" t="s">
        <v>14</v>
      </c>
      <c r="G703" s="6">
        <v>20160</v>
      </c>
      <c r="H703" s="696" t="str">
        <f>HYPERLINK("https://adv-map.ru/place/?LINK=1648faa18565cdef754196c909066778","Ссылка")</f>
        <v>Ссылка</v>
      </c>
      <c r="I703" s="5" t="s">
        <v>730</v>
      </c>
    </row>
    <row r="704" spans="1:9" s="4" customFormat="1" ht="38.1" customHeight="1" outlineLevel="1" x14ac:dyDescent="0.2">
      <c r="A704" s="5" t="s">
        <v>340</v>
      </c>
      <c r="B704" s="5" t="s">
        <v>354</v>
      </c>
      <c r="C704" s="5" t="s">
        <v>729</v>
      </c>
      <c r="D704" s="5" t="s">
        <v>347</v>
      </c>
      <c r="E704" s="5" t="s">
        <v>348</v>
      </c>
      <c r="F704" s="5" t="s">
        <v>16</v>
      </c>
      <c r="G704" s="6">
        <v>17640</v>
      </c>
      <c r="H704" s="697" t="str">
        <f>HYPERLINK("https://adv-map.ru/place/?LINK=b7e38e53061004ef2014688cb7431190","Ссылка")</f>
        <v>Ссылка</v>
      </c>
      <c r="I704" s="5" t="s">
        <v>731</v>
      </c>
    </row>
    <row r="705" spans="1:9" s="4" customFormat="1" ht="38.1" customHeight="1" outlineLevel="1" x14ac:dyDescent="0.2">
      <c r="A705" s="5" t="s">
        <v>340</v>
      </c>
      <c r="B705" s="5" t="s">
        <v>341</v>
      </c>
      <c r="C705" s="5" t="s">
        <v>732</v>
      </c>
      <c r="D705" s="5" t="s">
        <v>347</v>
      </c>
      <c r="E705" s="5" t="s">
        <v>348</v>
      </c>
      <c r="F705" s="5" t="s">
        <v>14</v>
      </c>
      <c r="G705" s="6">
        <v>21000</v>
      </c>
      <c r="H705" s="698" t="str">
        <f>HYPERLINK("https://adv-map.ru/place/?LINK=e7481cb807aac48ba35e339c2e3db6e8","Ссылка")</f>
        <v>Ссылка</v>
      </c>
      <c r="I705" s="5" t="s">
        <v>733</v>
      </c>
    </row>
    <row r="706" spans="1:9" s="4" customFormat="1" ht="38.1" customHeight="1" outlineLevel="1" x14ac:dyDescent="0.2">
      <c r="A706" s="5" t="s">
        <v>340</v>
      </c>
      <c r="B706" s="5" t="s">
        <v>341</v>
      </c>
      <c r="C706" s="5" t="s">
        <v>732</v>
      </c>
      <c r="D706" s="5" t="s">
        <v>347</v>
      </c>
      <c r="E706" s="5" t="s">
        <v>348</v>
      </c>
      <c r="F706" s="5" t="s">
        <v>16</v>
      </c>
      <c r="G706" s="6">
        <v>16800</v>
      </c>
      <c r="H706" s="699" t="str">
        <f>HYPERLINK("https://adv-map.ru/place/?LINK=db8159a10994950b7bfc384b41af5a49","Ссылка")</f>
        <v>Ссылка</v>
      </c>
      <c r="I706" s="5" t="s">
        <v>733</v>
      </c>
    </row>
    <row r="707" spans="1:9" s="4" customFormat="1" ht="38.1" customHeight="1" outlineLevel="1" x14ac:dyDescent="0.2">
      <c r="A707" s="5" t="s">
        <v>340</v>
      </c>
      <c r="B707" s="5" t="s">
        <v>546</v>
      </c>
      <c r="C707" s="5" t="s">
        <v>734</v>
      </c>
      <c r="D707" s="5" t="s">
        <v>347</v>
      </c>
      <c r="E707" s="5" t="s">
        <v>348</v>
      </c>
      <c r="F707" s="5" t="s">
        <v>14</v>
      </c>
      <c r="G707" s="6">
        <v>21000</v>
      </c>
      <c r="H707" s="700" t="str">
        <f>HYPERLINK("https://adv-map.ru/place/?LINK=57194350120bcc547c12d95ff2b509ee","Ссылка")</f>
        <v>Ссылка</v>
      </c>
      <c r="I707" s="5" t="s">
        <v>735</v>
      </c>
    </row>
    <row r="708" spans="1:9" s="4" customFormat="1" ht="38.1" customHeight="1" outlineLevel="1" x14ac:dyDescent="0.2">
      <c r="A708" s="5" t="s">
        <v>340</v>
      </c>
      <c r="B708" s="5" t="s">
        <v>546</v>
      </c>
      <c r="C708" s="5" t="s">
        <v>734</v>
      </c>
      <c r="D708" s="5" t="s">
        <v>347</v>
      </c>
      <c r="E708" s="5" t="s">
        <v>348</v>
      </c>
      <c r="F708" s="5" t="s">
        <v>16</v>
      </c>
      <c r="G708" s="6">
        <v>16800</v>
      </c>
      <c r="H708" s="701" t="str">
        <f>HYPERLINK("https://adv-map.ru/place/?LINK=647e5e3b3d65e3e714fa71c7160cd7e9","Ссылка")</f>
        <v>Ссылка</v>
      </c>
      <c r="I708" s="5" t="s">
        <v>735</v>
      </c>
    </row>
    <row r="709" spans="1:9" s="4" customFormat="1" ht="38.1" customHeight="1" outlineLevel="1" x14ac:dyDescent="0.2">
      <c r="A709" s="5" t="s">
        <v>340</v>
      </c>
      <c r="B709" s="5" t="s">
        <v>546</v>
      </c>
      <c r="C709" s="5" t="s">
        <v>736</v>
      </c>
      <c r="D709" s="5" t="s">
        <v>347</v>
      </c>
      <c r="E709" s="5" t="s">
        <v>348</v>
      </c>
      <c r="F709" s="5" t="s">
        <v>14</v>
      </c>
      <c r="G709" s="6">
        <v>21000</v>
      </c>
      <c r="H709" s="702" t="str">
        <f>HYPERLINK("https://adv-map.ru/place/?LINK=3af2d1d992d492a9208f73fb67267327","Ссылка")</f>
        <v>Ссылка</v>
      </c>
      <c r="I709" s="5" t="s">
        <v>737</v>
      </c>
    </row>
    <row r="710" spans="1:9" s="4" customFormat="1" ht="38.1" customHeight="1" outlineLevel="1" x14ac:dyDescent="0.2">
      <c r="A710" s="5" t="s">
        <v>340</v>
      </c>
      <c r="B710" s="5" t="s">
        <v>546</v>
      </c>
      <c r="C710" s="5" t="s">
        <v>736</v>
      </c>
      <c r="D710" s="5" t="s">
        <v>347</v>
      </c>
      <c r="E710" s="5" t="s">
        <v>348</v>
      </c>
      <c r="F710" s="5" t="s">
        <v>16</v>
      </c>
      <c r="G710" s="6">
        <v>16800</v>
      </c>
      <c r="H710" s="703" t="str">
        <f>HYPERLINK("https://adv-map.ru/place/?LINK=dca1f6b5af4a4930e93dceb3ec8710da","Ссылка")</f>
        <v>Ссылка</v>
      </c>
      <c r="I710" s="5" t="s">
        <v>737</v>
      </c>
    </row>
    <row r="711" spans="1:9" s="4" customFormat="1" ht="38.1" customHeight="1" outlineLevel="1" x14ac:dyDescent="0.2">
      <c r="A711" s="5" t="s">
        <v>340</v>
      </c>
      <c r="B711" s="5" t="s">
        <v>341</v>
      </c>
      <c r="C711" s="5" t="s">
        <v>738</v>
      </c>
      <c r="D711" s="5" t="s">
        <v>12</v>
      </c>
      <c r="E711" s="5" t="s">
        <v>13</v>
      </c>
      <c r="F711" s="5" t="s">
        <v>14</v>
      </c>
      <c r="G711" s="6">
        <v>35280</v>
      </c>
      <c r="H711" s="704" t="str">
        <f>HYPERLINK("https://adv-map.ru/place/?LINK=2f898d3676f54218ce4608f6ca973fe2","Ссылка")</f>
        <v>Ссылка</v>
      </c>
      <c r="I711" s="5" t="s">
        <v>739</v>
      </c>
    </row>
    <row r="712" spans="1:9" s="4" customFormat="1" ht="38.1" customHeight="1" outlineLevel="1" x14ac:dyDescent="0.2">
      <c r="A712" s="5" t="s">
        <v>340</v>
      </c>
      <c r="B712" s="5" t="s">
        <v>341</v>
      </c>
      <c r="C712" s="5" t="s">
        <v>738</v>
      </c>
      <c r="D712" s="5" t="s">
        <v>12</v>
      </c>
      <c r="E712" s="5" t="s">
        <v>13</v>
      </c>
      <c r="F712" s="5" t="s">
        <v>16</v>
      </c>
      <c r="G712" s="6">
        <v>28980</v>
      </c>
      <c r="H712" s="705" t="str">
        <f>HYPERLINK("https://adv-map.ru/place/?LINK=2eb2ce74edf5ede7771d1b0903864b84","Ссылка")</f>
        <v>Ссылка</v>
      </c>
      <c r="I712" s="5" t="s">
        <v>739</v>
      </c>
    </row>
    <row r="713" spans="1:9" s="4" customFormat="1" ht="38.1" customHeight="1" outlineLevel="1" x14ac:dyDescent="0.2">
      <c r="A713" s="5" t="s">
        <v>340</v>
      </c>
      <c r="B713" s="5" t="s">
        <v>354</v>
      </c>
      <c r="C713" s="5" t="s">
        <v>740</v>
      </c>
      <c r="D713" s="5" t="s">
        <v>347</v>
      </c>
      <c r="E713" s="5" t="s">
        <v>348</v>
      </c>
      <c r="F713" s="5" t="s">
        <v>14</v>
      </c>
      <c r="G713" s="6">
        <v>25200</v>
      </c>
      <c r="H713" s="706" t="str">
        <f>HYPERLINK("https://adv-map.ru/place/?LINK=bc9c6367e1906c63fa56afa09164eb6b","Ссылка")</f>
        <v>Ссылка</v>
      </c>
      <c r="I713" s="5" t="s">
        <v>741</v>
      </c>
    </row>
    <row r="714" spans="1:9" s="4" customFormat="1" ht="38.1" customHeight="1" outlineLevel="1" x14ac:dyDescent="0.2">
      <c r="A714" s="5" t="s">
        <v>340</v>
      </c>
      <c r="B714" s="5" t="s">
        <v>354</v>
      </c>
      <c r="C714" s="5" t="s">
        <v>740</v>
      </c>
      <c r="D714" s="5" t="s">
        <v>347</v>
      </c>
      <c r="E714" s="5" t="s">
        <v>348</v>
      </c>
      <c r="F714" s="5" t="s">
        <v>16</v>
      </c>
      <c r="G714" s="6">
        <v>20160</v>
      </c>
      <c r="H714" s="707" t="str">
        <f>HYPERLINK("https://adv-map.ru/place/?LINK=80eb7dcfdfeacd09df814363cfffdf09","Ссылка")</f>
        <v>Ссылка</v>
      </c>
      <c r="I714" s="5" t="s">
        <v>742</v>
      </c>
    </row>
    <row r="715" spans="1:9" s="4" customFormat="1" ht="38.1" customHeight="1" outlineLevel="1" x14ac:dyDescent="0.2">
      <c r="A715" s="5" t="s">
        <v>340</v>
      </c>
      <c r="B715" s="5" t="s">
        <v>354</v>
      </c>
      <c r="C715" s="5" t="s">
        <v>743</v>
      </c>
      <c r="D715" s="5" t="s">
        <v>347</v>
      </c>
      <c r="E715" s="5" t="s">
        <v>348</v>
      </c>
      <c r="F715" s="5" t="s">
        <v>14</v>
      </c>
      <c r="G715" s="6">
        <v>25200</v>
      </c>
      <c r="H715" s="708" t="str">
        <f>HYPERLINK("https://adv-map.ru/place/?LINK=d7ed0efc28000689c33f5b44b3c7fc4c","Ссылка")</f>
        <v>Ссылка</v>
      </c>
      <c r="I715" s="5" t="s">
        <v>744</v>
      </c>
    </row>
    <row r="716" spans="1:9" s="4" customFormat="1" ht="38.1" customHeight="1" outlineLevel="1" x14ac:dyDescent="0.2">
      <c r="A716" s="5" t="s">
        <v>340</v>
      </c>
      <c r="B716" s="5" t="s">
        <v>354</v>
      </c>
      <c r="C716" s="5" t="s">
        <v>743</v>
      </c>
      <c r="D716" s="5" t="s">
        <v>347</v>
      </c>
      <c r="E716" s="5" t="s">
        <v>348</v>
      </c>
      <c r="F716" s="5" t="s">
        <v>16</v>
      </c>
      <c r="G716" s="6">
        <v>20160</v>
      </c>
      <c r="H716" s="709" t="str">
        <f>HYPERLINK("https://adv-map.ru/place/?LINK=8f3d4d4314baa61c2c83a931c084af3b","Ссылка")</f>
        <v>Ссылка</v>
      </c>
      <c r="I716" s="5" t="s">
        <v>744</v>
      </c>
    </row>
    <row r="717" spans="1:9" s="4" customFormat="1" ht="38.1" customHeight="1" outlineLevel="1" x14ac:dyDescent="0.2">
      <c r="A717" s="5" t="s">
        <v>340</v>
      </c>
      <c r="B717" s="5" t="s">
        <v>354</v>
      </c>
      <c r="C717" s="5" t="s">
        <v>745</v>
      </c>
      <c r="D717" s="5" t="s">
        <v>347</v>
      </c>
      <c r="E717" s="5" t="s">
        <v>348</v>
      </c>
      <c r="F717" s="5" t="s">
        <v>14</v>
      </c>
      <c r="G717" s="6">
        <v>20160</v>
      </c>
      <c r="H717" s="710" t="str">
        <f>HYPERLINK("https://adv-map.ru/place/?LINK=c47314747292a52c98e45548c2349a46","Ссылка")</f>
        <v>Ссылка</v>
      </c>
      <c r="I717" s="5" t="s">
        <v>746</v>
      </c>
    </row>
    <row r="718" spans="1:9" s="4" customFormat="1" ht="38.1" customHeight="1" outlineLevel="1" x14ac:dyDescent="0.2">
      <c r="A718" s="5" t="s">
        <v>340</v>
      </c>
      <c r="B718" s="5" t="s">
        <v>354</v>
      </c>
      <c r="C718" s="5" t="s">
        <v>745</v>
      </c>
      <c r="D718" s="5" t="s">
        <v>347</v>
      </c>
      <c r="E718" s="5" t="s">
        <v>348</v>
      </c>
      <c r="F718" s="5" t="s">
        <v>16</v>
      </c>
      <c r="G718" s="6">
        <v>15120</v>
      </c>
      <c r="H718" s="711" t="str">
        <f>HYPERLINK("https://adv-map.ru/place/?LINK=277998b04a3e2dc18718598e3a9a12c8","Ссылка")</f>
        <v>Ссылка</v>
      </c>
      <c r="I718" s="5" t="s">
        <v>747</v>
      </c>
    </row>
    <row r="719" spans="1:9" s="4" customFormat="1" ht="38.1" customHeight="1" outlineLevel="1" x14ac:dyDescent="0.2">
      <c r="A719" s="5" t="s">
        <v>340</v>
      </c>
      <c r="B719" s="5" t="s">
        <v>354</v>
      </c>
      <c r="C719" s="5" t="s">
        <v>748</v>
      </c>
      <c r="D719" s="5" t="s">
        <v>12</v>
      </c>
      <c r="E719" s="5" t="s">
        <v>13</v>
      </c>
      <c r="F719" s="5" t="s">
        <v>14</v>
      </c>
      <c r="G719" s="6">
        <v>31500</v>
      </c>
      <c r="H719" s="712" t="str">
        <f>HYPERLINK("https://adv-map.ru/place/?LINK=bb10c716df90997f025fb4d536b7a2b1","Ссылка")</f>
        <v>Ссылка</v>
      </c>
      <c r="I719" s="5" t="s">
        <v>749</v>
      </c>
    </row>
    <row r="720" spans="1:9" s="4" customFormat="1" ht="38.1" customHeight="1" outlineLevel="1" x14ac:dyDescent="0.2">
      <c r="A720" s="5" t="s">
        <v>340</v>
      </c>
      <c r="B720" s="5" t="s">
        <v>354</v>
      </c>
      <c r="C720" s="5" t="s">
        <v>748</v>
      </c>
      <c r="D720" s="5" t="s">
        <v>12</v>
      </c>
      <c r="E720" s="5" t="s">
        <v>13</v>
      </c>
      <c r="F720" s="5" t="s">
        <v>16</v>
      </c>
      <c r="G720" s="6">
        <v>25200</v>
      </c>
      <c r="H720" s="713" t="str">
        <f>HYPERLINK("https://adv-map.ru/place/?LINK=c939689f32c2ef5906568b3a1aaaf323","Ссылка")</f>
        <v>Ссылка</v>
      </c>
      <c r="I720" s="5" t="s">
        <v>749</v>
      </c>
    </row>
    <row r="721" spans="1:9" s="4" customFormat="1" ht="38.1" customHeight="1" outlineLevel="1" x14ac:dyDescent="0.2">
      <c r="A721" s="5" t="s">
        <v>340</v>
      </c>
      <c r="B721" s="5" t="s">
        <v>354</v>
      </c>
      <c r="C721" s="5" t="s">
        <v>750</v>
      </c>
      <c r="D721" s="5" t="s">
        <v>12</v>
      </c>
      <c r="E721" s="5" t="s">
        <v>13</v>
      </c>
      <c r="F721" s="5" t="s">
        <v>14</v>
      </c>
      <c r="G721" s="6">
        <v>31500</v>
      </c>
      <c r="H721" s="714" t="str">
        <f>HYPERLINK("https://adv-map.ru/place/?LINK=10e33358561b5665056feb7813bf9250","Ссылка")</f>
        <v>Ссылка</v>
      </c>
      <c r="I721" s="5" t="s">
        <v>751</v>
      </c>
    </row>
    <row r="722" spans="1:9" s="4" customFormat="1" ht="38.1" customHeight="1" outlineLevel="1" x14ac:dyDescent="0.2">
      <c r="A722" s="5" t="s">
        <v>340</v>
      </c>
      <c r="B722" s="5" t="s">
        <v>354</v>
      </c>
      <c r="C722" s="5" t="s">
        <v>750</v>
      </c>
      <c r="D722" s="5" t="s">
        <v>12</v>
      </c>
      <c r="E722" s="5" t="s">
        <v>13</v>
      </c>
      <c r="F722" s="5" t="s">
        <v>16</v>
      </c>
      <c r="G722" s="6">
        <v>25200</v>
      </c>
      <c r="H722" s="715" t="str">
        <f>HYPERLINK("https://adv-map.ru/place/?LINK=4ee5d6c84e413e41ef11d4064276b4c1","Ссылка")</f>
        <v>Ссылка</v>
      </c>
      <c r="I722" s="5" t="s">
        <v>751</v>
      </c>
    </row>
    <row r="723" spans="1:9" s="4" customFormat="1" ht="38.1" customHeight="1" outlineLevel="1" x14ac:dyDescent="0.2">
      <c r="A723" s="5" t="s">
        <v>340</v>
      </c>
      <c r="B723" s="5" t="s">
        <v>354</v>
      </c>
      <c r="C723" s="5" t="s">
        <v>752</v>
      </c>
      <c r="D723" s="5" t="s">
        <v>12</v>
      </c>
      <c r="E723" s="5" t="s">
        <v>13</v>
      </c>
      <c r="F723" s="5" t="s">
        <v>14</v>
      </c>
      <c r="G723" s="6">
        <v>31500</v>
      </c>
      <c r="H723" s="716" t="str">
        <f>HYPERLINK("https://adv-map.ru/place/?LINK=b81424145d8ae94fbb3d87ada9692f6b","Ссылка")</f>
        <v>Ссылка</v>
      </c>
      <c r="I723" s="5" t="s">
        <v>753</v>
      </c>
    </row>
    <row r="724" spans="1:9" s="4" customFormat="1" ht="38.1" customHeight="1" outlineLevel="1" x14ac:dyDescent="0.2">
      <c r="A724" s="5" t="s">
        <v>340</v>
      </c>
      <c r="B724" s="5" t="s">
        <v>354</v>
      </c>
      <c r="C724" s="5" t="s">
        <v>752</v>
      </c>
      <c r="D724" s="5" t="s">
        <v>12</v>
      </c>
      <c r="E724" s="5" t="s">
        <v>13</v>
      </c>
      <c r="F724" s="5" t="s">
        <v>16</v>
      </c>
      <c r="G724" s="6">
        <v>25200</v>
      </c>
      <c r="H724" s="717" t="str">
        <f>HYPERLINK("https://adv-map.ru/place/?LINK=6935f627bc26aa9c893545a34fbca1c8","Ссылка")</f>
        <v>Ссылка</v>
      </c>
      <c r="I724" s="5" t="s">
        <v>753</v>
      </c>
    </row>
    <row r="725" spans="1:9" s="4" customFormat="1" ht="38.1" customHeight="1" outlineLevel="1" x14ac:dyDescent="0.2">
      <c r="A725" s="5" t="s">
        <v>340</v>
      </c>
      <c r="B725" s="5" t="s">
        <v>341</v>
      </c>
      <c r="C725" s="5" t="s">
        <v>754</v>
      </c>
      <c r="D725" s="5" t="s">
        <v>12</v>
      </c>
      <c r="E725" s="5" t="s">
        <v>13</v>
      </c>
      <c r="F725" s="5" t="s">
        <v>14</v>
      </c>
      <c r="G725" s="6">
        <v>31500</v>
      </c>
      <c r="H725" s="718" t="str">
        <f>HYPERLINK("https://adv-map.ru/place/?LINK=533a5c3e1a5979ec64219e26f48cb318","Ссылка")</f>
        <v>Ссылка</v>
      </c>
      <c r="I725" s="5" t="s">
        <v>755</v>
      </c>
    </row>
    <row r="726" spans="1:9" s="4" customFormat="1" ht="38.1" customHeight="1" outlineLevel="1" x14ac:dyDescent="0.2">
      <c r="A726" s="5" t="s">
        <v>340</v>
      </c>
      <c r="B726" s="5" t="s">
        <v>341</v>
      </c>
      <c r="C726" s="5" t="s">
        <v>754</v>
      </c>
      <c r="D726" s="5" t="s">
        <v>12</v>
      </c>
      <c r="E726" s="5" t="s">
        <v>13</v>
      </c>
      <c r="F726" s="5" t="s">
        <v>16</v>
      </c>
      <c r="G726" s="6">
        <v>25200</v>
      </c>
      <c r="H726" s="719" t="str">
        <f>HYPERLINK("https://adv-map.ru/place/?LINK=6f567536e4c5063bd2bcd5da5f8ad4ca","Ссылка")</f>
        <v>Ссылка</v>
      </c>
      <c r="I726" s="5" t="s">
        <v>755</v>
      </c>
    </row>
    <row r="727" spans="1:9" s="4" customFormat="1" ht="38.1" customHeight="1" outlineLevel="1" x14ac:dyDescent="0.2">
      <c r="A727" s="5" t="s">
        <v>340</v>
      </c>
      <c r="B727" s="5" t="s">
        <v>341</v>
      </c>
      <c r="C727" s="5" t="s">
        <v>756</v>
      </c>
      <c r="D727" s="5" t="s">
        <v>49</v>
      </c>
      <c r="E727" s="5" t="s">
        <v>13</v>
      </c>
      <c r="F727" s="5" t="s">
        <v>28</v>
      </c>
      <c r="G727" s="6">
        <v>47250</v>
      </c>
      <c r="H727" s="720" t="str">
        <f>HYPERLINK("https://adv-map.ru/place/?LINK=7a558ba4d0ca2941963f67483358fe62","Ссылка")</f>
        <v>Ссылка</v>
      </c>
      <c r="I727" s="5" t="s">
        <v>757</v>
      </c>
    </row>
    <row r="728" spans="1:9" s="4" customFormat="1" ht="38.1" customHeight="1" outlineLevel="1" x14ac:dyDescent="0.2">
      <c r="A728" s="5" t="s">
        <v>340</v>
      </c>
      <c r="B728" s="5" t="s">
        <v>341</v>
      </c>
      <c r="C728" s="5" t="s">
        <v>756</v>
      </c>
      <c r="D728" s="5" t="s">
        <v>49</v>
      </c>
      <c r="E728" s="5" t="s">
        <v>13</v>
      </c>
      <c r="F728" s="5" t="s">
        <v>30</v>
      </c>
      <c r="G728" s="6">
        <v>47250</v>
      </c>
      <c r="H728" s="721" t="str">
        <f>HYPERLINK("https://adv-map.ru/place/?LINK=5af9961d256bf90d00a8c8cf020198ef","Ссылка")</f>
        <v>Ссылка</v>
      </c>
      <c r="I728" s="5" t="s">
        <v>757</v>
      </c>
    </row>
    <row r="729" spans="1:9" s="4" customFormat="1" ht="38.1" customHeight="1" outlineLevel="1" x14ac:dyDescent="0.2">
      <c r="A729" s="5" t="s">
        <v>340</v>
      </c>
      <c r="B729" s="5" t="s">
        <v>341</v>
      </c>
      <c r="C729" s="5" t="s">
        <v>756</v>
      </c>
      <c r="D729" s="5" t="s">
        <v>49</v>
      </c>
      <c r="E729" s="5" t="s">
        <v>13</v>
      </c>
      <c r="F729" s="5" t="s">
        <v>31</v>
      </c>
      <c r="G729" s="6">
        <v>47250</v>
      </c>
      <c r="H729" s="722" t="str">
        <f>HYPERLINK("https://adv-map.ru/place/?LINK=bed200856060070429ccfe43c0aa2966","Ссылка")</f>
        <v>Ссылка</v>
      </c>
      <c r="I729" s="5" t="s">
        <v>757</v>
      </c>
    </row>
    <row r="730" spans="1:9" s="4" customFormat="1" ht="38.1" customHeight="1" outlineLevel="1" x14ac:dyDescent="0.2">
      <c r="A730" s="5" t="s">
        <v>340</v>
      </c>
      <c r="B730" s="5" t="s">
        <v>341</v>
      </c>
      <c r="C730" s="5" t="s">
        <v>756</v>
      </c>
      <c r="D730" s="5" t="s">
        <v>12</v>
      </c>
      <c r="E730" s="5" t="s">
        <v>13</v>
      </c>
      <c r="F730" s="5" t="s">
        <v>16</v>
      </c>
      <c r="G730" s="6">
        <v>31500</v>
      </c>
      <c r="H730" s="723" t="str">
        <f>HYPERLINK("https://adv-map.ru/place/?LINK=31c9d20d2401266d393f64056ee374be","Ссылка")</f>
        <v>Ссылка</v>
      </c>
      <c r="I730" s="5" t="s">
        <v>758</v>
      </c>
    </row>
    <row r="731" spans="1:9" s="4" customFormat="1" ht="38.1" customHeight="1" outlineLevel="1" x14ac:dyDescent="0.2">
      <c r="A731" s="5" t="s">
        <v>340</v>
      </c>
      <c r="B731" s="5" t="s">
        <v>345</v>
      </c>
      <c r="C731" s="5" t="s">
        <v>759</v>
      </c>
      <c r="D731" s="5" t="s">
        <v>347</v>
      </c>
      <c r="E731" s="5" t="s">
        <v>348</v>
      </c>
      <c r="F731" s="5" t="s">
        <v>14</v>
      </c>
      <c r="G731" s="6">
        <v>25200</v>
      </c>
      <c r="H731" s="724" t="str">
        <f>HYPERLINK("https://adv-map.ru/place/?LINK=16a020256d46f4cef7032af6cbe42121","Ссылка")</f>
        <v>Ссылка</v>
      </c>
      <c r="I731" s="5" t="s">
        <v>760</v>
      </c>
    </row>
    <row r="732" spans="1:9" s="4" customFormat="1" ht="38.1" customHeight="1" outlineLevel="1" x14ac:dyDescent="0.2">
      <c r="A732" s="5" t="s">
        <v>340</v>
      </c>
      <c r="B732" s="5" t="s">
        <v>345</v>
      </c>
      <c r="C732" s="5" t="s">
        <v>759</v>
      </c>
      <c r="D732" s="5" t="s">
        <v>347</v>
      </c>
      <c r="E732" s="5" t="s">
        <v>348</v>
      </c>
      <c r="F732" s="5" t="s">
        <v>16</v>
      </c>
      <c r="G732" s="6">
        <v>20160</v>
      </c>
      <c r="H732" s="725" t="str">
        <f>HYPERLINK("https://adv-map.ru/place/?LINK=03bbb22271001c08bc1d14da46ab7d69","Ссылка")</f>
        <v>Ссылка</v>
      </c>
      <c r="I732" s="5" t="s">
        <v>760</v>
      </c>
    </row>
    <row r="733" spans="1:9" s="4" customFormat="1" ht="38.1" customHeight="1" outlineLevel="1" x14ac:dyDescent="0.2">
      <c r="A733" s="5" t="s">
        <v>340</v>
      </c>
      <c r="B733" s="5" t="s">
        <v>345</v>
      </c>
      <c r="C733" s="5" t="s">
        <v>761</v>
      </c>
      <c r="D733" s="5" t="s">
        <v>43</v>
      </c>
      <c r="E733" s="5" t="s">
        <v>504</v>
      </c>
      <c r="F733" s="5" t="s">
        <v>14</v>
      </c>
      <c r="G733" s="6">
        <v>37800</v>
      </c>
      <c r="H733" s="726" t="str">
        <f>HYPERLINK("https://adv-map.ru/place/?LINK=077690aeba11e1371c76592e6bdea1ea","Ссылка")</f>
        <v>Ссылка</v>
      </c>
      <c r="I733" s="5" t="s">
        <v>762</v>
      </c>
    </row>
    <row r="734" spans="1:9" s="4" customFormat="1" ht="38.1" customHeight="1" outlineLevel="1" x14ac:dyDescent="0.2">
      <c r="A734" s="5" t="s">
        <v>340</v>
      </c>
      <c r="B734" s="5" t="s">
        <v>345</v>
      </c>
      <c r="C734" s="5" t="s">
        <v>761</v>
      </c>
      <c r="D734" s="5" t="s">
        <v>43</v>
      </c>
      <c r="E734" s="5" t="s">
        <v>504</v>
      </c>
      <c r="F734" s="5" t="s">
        <v>16</v>
      </c>
      <c r="G734" s="6">
        <v>31500</v>
      </c>
      <c r="H734" s="727" t="str">
        <f>HYPERLINK("https://adv-map.ru/place/?LINK=d5c18ce32eebe9ea84e7bfd6ca23635b","Ссылка")</f>
        <v>Ссылка</v>
      </c>
      <c r="I734" s="5" t="s">
        <v>762</v>
      </c>
    </row>
    <row r="735" spans="1:9" s="4" customFormat="1" ht="38.1" customHeight="1" outlineLevel="1" x14ac:dyDescent="0.2">
      <c r="A735" s="5" t="s">
        <v>340</v>
      </c>
      <c r="B735" s="5" t="s">
        <v>345</v>
      </c>
      <c r="C735" s="5" t="s">
        <v>763</v>
      </c>
      <c r="D735" s="5" t="s">
        <v>464</v>
      </c>
      <c r="E735" s="5" t="s">
        <v>13</v>
      </c>
      <c r="F735" s="5" t="s">
        <v>28</v>
      </c>
      <c r="G735" s="6">
        <v>57750</v>
      </c>
      <c r="H735" s="728" t="str">
        <f>HYPERLINK("https://adv-map.ru/place/?LINK=0f24c6ebfc16c83c67abb6dae3f997b9","Ссылка")</f>
        <v>Ссылка</v>
      </c>
      <c r="I735" s="5" t="s">
        <v>764</v>
      </c>
    </row>
    <row r="736" spans="1:9" s="4" customFormat="1" ht="38.1" customHeight="1" outlineLevel="1" x14ac:dyDescent="0.2">
      <c r="A736" s="5" t="s">
        <v>340</v>
      </c>
      <c r="B736" s="5" t="s">
        <v>345</v>
      </c>
      <c r="C736" s="5" t="s">
        <v>763</v>
      </c>
      <c r="D736" s="5" t="s">
        <v>464</v>
      </c>
      <c r="E736" s="5" t="s">
        <v>13</v>
      </c>
      <c r="F736" s="5" t="s">
        <v>466</v>
      </c>
      <c r="G736" s="6">
        <v>57750</v>
      </c>
      <c r="H736" s="729" t="str">
        <f>HYPERLINK("https://adv-map.ru/place/?LINK=c20e35352d046ce5736156c6aec1c6c3","Ссылка")</f>
        <v>Ссылка</v>
      </c>
      <c r="I736" s="5" t="s">
        <v>765</v>
      </c>
    </row>
    <row r="737" spans="1:9" s="4" customFormat="1" ht="38.1" customHeight="1" outlineLevel="1" x14ac:dyDescent="0.2">
      <c r="A737" s="5" t="s">
        <v>340</v>
      </c>
      <c r="B737" s="5" t="s">
        <v>345</v>
      </c>
      <c r="C737" s="5" t="s">
        <v>763</v>
      </c>
      <c r="D737" s="5" t="s">
        <v>464</v>
      </c>
      <c r="E737" s="5" t="s">
        <v>13</v>
      </c>
      <c r="F737" s="5" t="s">
        <v>467</v>
      </c>
      <c r="G737" s="6">
        <v>57750</v>
      </c>
      <c r="H737" s="730" t="str">
        <f>HYPERLINK("https://adv-map.ru/place/?LINK=f4c0f4671c2f31eaff7c4f599beb71ca","Ссылка")</f>
        <v>Ссылка</v>
      </c>
      <c r="I737" s="5" t="s">
        <v>766</v>
      </c>
    </row>
    <row r="738" spans="1:9" s="4" customFormat="1" ht="38.1" customHeight="1" outlineLevel="1" x14ac:dyDescent="0.2">
      <c r="A738" s="5" t="s">
        <v>340</v>
      </c>
      <c r="B738" s="5" t="s">
        <v>345</v>
      </c>
      <c r="C738" s="5" t="s">
        <v>763</v>
      </c>
      <c r="D738" s="5" t="s">
        <v>464</v>
      </c>
      <c r="E738" s="5" t="s">
        <v>13</v>
      </c>
      <c r="F738" s="5" t="s">
        <v>468</v>
      </c>
      <c r="G738" s="6">
        <v>57750</v>
      </c>
      <c r="H738" s="731" t="str">
        <f>HYPERLINK("https://adv-map.ru/place/?LINK=2219bc09c111340175d84da25f82cb06","Ссылка")</f>
        <v>Ссылка</v>
      </c>
      <c r="I738" s="5" t="s">
        <v>767</v>
      </c>
    </row>
    <row r="739" spans="1:9" s="4" customFormat="1" ht="38.1" customHeight="1" outlineLevel="1" x14ac:dyDescent="0.2">
      <c r="A739" s="5" t="s">
        <v>340</v>
      </c>
      <c r="B739" s="5" t="s">
        <v>345</v>
      </c>
      <c r="C739" s="5" t="s">
        <v>763</v>
      </c>
      <c r="D739" s="5" t="s">
        <v>464</v>
      </c>
      <c r="E739" s="5" t="s">
        <v>13</v>
      </c>
      <c r="F739" s="5" t="s">
        <v>30</v>
      </c>
      <c r="G739" s="6">
        <v>57750</v>
      </c>
      <c r="H739" s="732" t="str">
        <f>HYPERLINK("https://adv-map.ru/place/?LINK=592dd1a0a57f48e9bc80c63b05f71fbb","Ссылка")</f>
        <v>Ссылка</v>
      </c>
      <c r="I739" s="5" t="s">
        <v>768</v>
      </c>
    </row>
    <row r="740" spans="1:9" s="4" customFormat="1" ht="38.1" customHeight="1" outlineLevel="1" x14ac:dyDescent="0.2">
      <c r="A740" s="5" t="s">
        <v>340</v>
      </c>
      <c r="B740" s="5" t="s">
        <v>345</v>
      </c>
      <c r="C740" s="5" t="s">
        <v>763</v>
      </c>
      <c r="D740" s="5" t="s">
        <v>464</v>
      </c>
      <c r="E740" s="5" t="s">
        <v>13</v>
      </c>
      <c r="F740" s="5" t="s">
        <v>31</v>
      </c>
      <c r="G740" s="6">
        <v>57750</v>
      </c>
      <c r="H740" s="733" t="str">
        <f>HYPERLINK("https://adv-map.ru/place/?LINK=c5b56960570d850efa0da45e9e914168","Ссылка")</f>
        <v>Ссылка</v>
      </c>
      <c r="I740" s="5" t="s">
        <v>769</v>
      </c>
    </row>
    <row r="741" spans="1:9" s="4" customFormat="1" ht="38.1" customHeight="1" outlineLevel="1" x14ac:dyDescent="0.2">
      <c r="A741" s="5" t="s">
        <v>340</v>
      </c>
      <c r="B741" s="5" t="s">
        <v>345</v>
      </c>
      <c r="C741" s="5" t="s">
        <v>763</v>
      </c>
      <c r="D741" s="5" t="s">
        <v>464</v>
      </c>
      <c r="E741" s="5" t="s">
        <v>13</v>
      </c>
      <c r="F741" s="5" t="s">
        <v>32</v>
      </c>
      <c r="G741" s="6">
        <v>57750</v>
      </c>
      <c r="H741" s="734" t="str">
        <f>HYPERLINK("https://adv-map.ru/place/?LINK=a8a48d937db03370145bae48c196f769","Ссылка")</f>
        <v>Ссылка</v>
      </c>
      <c r="I741" s="5" t="s">
        <v>770</v>
      </c>
    </row>
    <row r="742" spans="1:9" s="4" customFormat="1" ht="38.1" customHeight="1" outlineLevel="1" x14ac:dyDescent="0.2">
      <c r="A742" s="5" t="s">
        <v>340</v>
      </c>
      <c r="B742" s="5" t="s">
        <v>345</v>
      </c>
      <c r="C742" s="5" t="s">
        <v>763</v>
      </c>
      <c r="D742" s="5" t="s">
        <v>464</v>
      </c>
      <c r="E742" s="5" t="s">
        <v>13</v>
      </c>
      <c r="F742" s="5" t="s">
        <v>469</v>
      </c>
      <c r="G742" s="6">
        <v>57750</v>
      </c>
      <c r="H742" s="735" t="str">
        <f>HYPERLINK("https://adv-map.ru/place/?LINK=59650b93a5e8b5f50ec08c8459bd3366","Ссылка")</f>
        <v>Ссылка</v>
      </c>
      <c r="I742" s="5" t="s">
        <v>771</v>
      </c>
    </row>
    <row r="743" spans="1:9" s="4" customFormat="1" ht="38.1" customHeight="1" outlineLevel="1" x14ac:dyDescent="0.2">
      <c r="A743" s="5" t="s">
        <v>340</v>
      </c>
      <c r="B743" s="5" t="s">
        <v>345</v>
      </c>
      <c r="C743" s="5" t="s">
        <v>763</v>
      </c>
      <c r="D743" s="5" t="s">
        <v>464</v>
      </c>
      <c r="E743" s="5" t="s">
        <v>13</v>
      </c>
      <c r="F743" s="5" t="s">
        <v>470</v>
      </c>
      <c r="G743" s="6">
        <v>57750</v>
      </c>
      <c r="H743" s="736" t="str">
        <f>HYPERLINK("https://adv-map.ru/place/?LINK=9b695e6584241693e3bab6df42425b22","Ссылка")</f>
        <v>Ссылка</v>
      </c>
      <c r="I743" s="5" t="s">
        <v>772</v>
      </c>
    </row>
    <row r="744" spans="1:9" s="4" customFormat="1" ht="38.1" customHeight="1" outlineLevel="1" x14ac:dyDescent="0.2">
      <c r="A744" s="5" t="s">
        <v>340</v>
      </c>
      <c r="B744" s="5" t="s">
        <v>345</v>
      </c>
      <c r="C744" s="5" t="s">
        <v>763</v>
      </c>
      <c r="D744" s="5" t="s">
        <v>464</v>
      </c>
      <c r="E744" s="5" t="s">
        <v>13</v>
      </c>
      <c r="F744" s="5" t="s">
        <v>471</v>
      </c>
      <c r="G744" s="6">
        <v>57750</v>
      </c>
      <c r="H744" s="737" t="str">
        <f>HYPERLINK("https://adv-map.ru/place/?LINK=6be8fab54d7bd0e6455cd74b5f43f8de","Ссылка")</f>
        <v>Ссылка</v>
      </c>
      <c r="I744" s="5" t="s">
        <v>773</v>
      </c>
    </row>
    <row r="745" spans="1:9" s="4" customFormat="1" ht="38.1" customHeight="1" outlineLevel="1" x14ac:dyDescent="0.2">
      <c r="A745" s="5" t="s">
        <v>340</v>
      </c>
      <c r="B745" s="5" t="s">
        <v>345</v>
      </c>
      <c r="C745" s="5" t="s">
        <v>763</v>
      </c>
      <c r="D745" s="5" t="s">
        <v>464</v>
      </c>
      <c r="E745" s="5" t="s">
        <v>13</v>
      </c>
      <c r="F745" s="5" t="s">
        <v>472</v>
      </c>
      <c r="G745" s="6">
        <v>57750</v>
      </c>
      <c r="H745" s="738" t="str">
        <f>HYPERLINK("https://adv-map.ru/place/?LINK=e676065c699c6e0e81a1e4fbad4f4ecf","Ссылка")</f>
        <v>Ссылка</v>
      </c>
      <c r="I745" s="5" t="s">
        <v>774</v>
      </c>
    </row>
    <row r="746" spans="1:9" s="4" customFormat="1" ht="38.1" customHeight="1" outlineLevel="1" x14ac:dyDescent="0.2">
      <c r="A746" s="5" t="s">
        <v>340</v>
      </c>
      <c r="B746" s="5" t="s">
        <v>345</v>
      </c>
      <c r="C746" s="5" t="s">
        <v>763</v>
      </c>
      <c r="D746" s="5" t="s">
        <v>464</v>
      </c>
      <c r="E746" s="5" t="s">
        <v>13</v>
      </c>
      <c r="F746" s="5" t="s">
        <v>473</v>
      </c>
      <c r="G746" s="6">
        <v>57750</v>
      </c>
      <c r="H746" s="739" t="str">
        <f>HYPERLINK("https://adv-map.ru/place/?LINK=d19f415b618cf26546ae044b27097969","Ссылка")</f>
        <v>Ссылка</v>
      </c>
      <c r="I746" s="5" t="s">
        <v>775</v>
      </c>
    </row>
    <row r="747" spans="1:9" s="4" customFormat="1" ht="38.1" customHeight="1" outlineLevel="1" x14ac:dyDescent="0.2">
      <c r="A747" s="5" t="s">
        <v>340</v>
      </c>
      <c r="B747" s="5" t="s">
        <v>345</v>
      </c>
      <c r="C747" s="5" t="s">
        <v>776</v>
      </c>
      <c r="D747" s="5" t="s">
        <v>405</v>
      </c>
      <c r="E747" s="5" t="s">
        <v>348</v>
      </c>
      <c r="F747" s="5" t="s">
        <v>14</v>
      </c>
      <c r="G747" s="6">
        <v>25200</v>
      </c>
      <c r="H747" s="740" t="str">
        <f>HYPERLINK("https://adv-map.ru/place/?LINK=e4de4d5a73ac0b6f2ce298e5062703fe","Ссылка")</f>
        <v>Ссылка</v>
      </c>
      <c r="I747" s="5" t="s">
        <v>777</v>
      </c>
    </row>
    <row r="748" spans="1:9" s="4" customFormat="1" ht="38.1" customHeight="1" outlineLevel="1" x14ac:dyDescent="0.2">
      <c r="A748" s="5" t="s">
        <v>340</v>
      </c>
      <c r="B748" s="5" t="s">
        <v>345</v>
      </c>
      <c r="C748" s="5" t="s">
        <v>776</v>
      </c>
      <c r="D748" s="5" t="s">
        <v>405</v>
      </c>
      <c r="E748" s="5" t="s">
        <v>348</v>
      </c>
      <c r="F748" s="5" t="s">
        <v>16</v>
      </c>
      <c r="G748" s="6">
        <v>20160</v>
      </c>
      <c r="H748" s="741" t="str">
        <f>HYPERLINK("https://adv-map.ru/place/?LINK=da30284cde174c96e58b3ad9baf699d0","Ссылка")</f>
        <v>Ссылка</v>
      </c>
      <c r="I748" s="5" t="s">
        <v>777</v>
      </c>
    </row>
    <row r="749" spans="1:9" s="4" customFormat="1" ht="38.1" customHeight="1" outlineLevel="1" x14ac:dyDescent="0.2">
      <c r="A749" s="5" t="s">
        <v>340</v>
      </c>
      <c r="B749" s="5" t="s">
        <v>345</v>
      </c>
      <c r="C749" s="5" t="s">
        <v>778</v>
      </c>
      <c r="D749" s="5" t="s">
        <v>405</v>
      </c>
      <c r="E749" s="5" t="s">
        <v>348</v>
      </c>
      <c r="F749" s="5" t="s">
        <v>14</v>
      </c>
      <c r="G749" s="6">
        <v>25200</v>
      </c>
      <c r="H749" s="742" t="str">
        <f>HYPERLINK("https://adv-map.ru/place/?LINK=5081a5e65c29d130987c0f7dd03372c0","Ссылка")</f>
        <v>Ссылка</v>
      </c>
      <c r="I749" s="5" t="s">
        <v>779</v>
      </c>
    </row>
    <row r="750" spans="1:9" s="4" customFormat="1" ht="38.1" customHeight="1" outlineLevel="1" x14ac:dyDescent="0.2">
      <c r="A750" s="5" t="s">
        <v>340</v>
      </c>
      <c r="B750" s="5" t="s">
        <v>345</v>
      </c>
      <c r="C750" s="5" t="s">
        <v>778</v>
      </c>
      <c r="D750" s="5" t="s">
        <v>405</v>
      </c>
      <c r="E750" s="5" t="s">
        <v>348</v>
      </c>
      <c r="F750" s="5" t="s">
        <v>16</v>
      </c>
      <c r="G750" s="6">
        <v>20160</v>
      </c>
      <c r="H750" s="743" t="str">
        <f>HYPERLINK("https://adv-map.ru/place/?LINK=fd6ad0b70ad6d18f84ef56e09f44707e","Ссылка")</f>
        <v>Ссылка</v>
      </c>
      <c r="I750" s="5" t="s">
        <v>779</v>
      </c>
    </row>
    <row r="751" spans="1:9" s="4" customFormat="1" ht="38.1" customHeight="1" outlineLevel="1" x14ac:dyDescent="0.2">
      <c r="A751" s="5" t="s">
        <v>340</v>
      </c>
      <c r="B751" s="5" t="s">
        <v>345</v>
      </c>
      <c r="C751" s="5" t="s">
        <v>780</v>
      </c>
      <c r="D751" s="5" t="s">
        <v>12</v>
      </c>
      <c r="E751" s="5" t="s">
        <v>13</v>
      </c>
      <c r="F751" s="5" t="s">
        <v>16</v>
      </c>
      <c r="G751" s="6">
        <v>37800</v>
      </c>
      <c r="H751" s="744" t="str">
        <f>HYPERLINK("https://adv-map.ru/place/?LINK=3807ff5327259bb9c2579a3ef65eeec1","Ссылка")</f>
        <v>Ссылка</v>
      </c>
      <c r="I751" s="5" t="s">
        <v>781</v>
      </c>
    </row>
    <row r="752" spans="1:9" s="4" customFormat="1" ht="38.1" customHeight="1" outlineLevel="1" x14ac:dyDescent="0.2">
      <c r="A752" s="5" t="s">
        <v>340</v>
      </c>
      <c r="B752" s="5" t="s">
        <v>345</v>
      </c>
      <c r="C752" s="5" t="s">
        <v>782</v>
      </c>
      <c r="D752" s="5" t="s">
        <v>405</v>
      </c>
      <c r="E752" s="5" t="s">
        <v>348</v>
      </c>
      <c r="F752" s="5" t="s">
        <v>14</v>
      </c>
      <c r="G752" s="6">
        <v>25200</v>
      </c>
      <c r="H752" s="745" t="str">
        <f>HYPERLINK("https://adv-map.ru/place/?LINK=2551e8aa511a2becb122a2914c457979","Ссылка")</f>
        <v>Ссылка</v>
      </c>
      <c r="I752" s="5" t="s">
        <v>783</v>
      </c>
    </row>
    <row r="753" spans="1:9" s="4" customFormat="1" ht="38.1" customHeight="1" outlineLevel="1" x14ac:dyDescent="0.2">
      <c r="A753" s="5" t="s">
        <v>340</v>
      </c>
      <c r="B753" s="5" t="s">
        <v>345</v>
      </c>
      <c r="C753" s="5" t="s">
        <v>782</v>
      </c>
      <c r="D753" s="5" t="s">
        <v>405</v>
      </c>
      <c r="E753" s="5" t="s">
        <v>348</v>
      </c>
      <c r="F753" s="5" t="s">
        <v>16</v>
      </c>
      <c r="G753" s="6">
        <v>20160</v>
      </c>
      <c r="H753" s="746" t="str">
        <f>HYPERLINK("https://adv-map.ru/place/?LINK=d8e626f9f059a3efeda88def285b8faa","Ссылка")</f>
        <v>Ссылка</v>
      </c>
      <c r="I753" s="5" t="s">
        <v>783</v>
      </c>
    </row>
    <row r="754" spans="1:9" s="4" customFormat="1" ht="38.1" customHeight="1" outlineLevel="1" x14ac:dyDescent="0.2">
      <c r="A754" s="5" t="s">
        <v>340</v>
      </c>
      <c r="B754" s="5" t="s">
        <v>354</v>
      </c>
      <c r="C754" s="5" t="s">
        <v>784</v>
      </c>
      <c r="D754" s="5" t="s">
        <v>12</v>
      </c>
      <c r="E754" s="5" t="s">
        <v>13</v>
      </c>
      <c r="F754" s="5" t="s">
        <v>14</v>
      </c>
      <c r="G754" s="6">
        <v>31500</v>
      </c>
      <c r="H754" s="747" t="str">
        <f>HYPERLINK("https://adv-map.ru/place/?LINK=50ab15254b8e93bb5356f89bb45cb93b","Ссылка")</f>
        <v>Ссылка</v>
      </c>
      <c r="I754" s="5" t="s">
        <v>785</v>
      </c>
    </row>
    <row r="755" spans="1:9" s="4" customFormat="1" ht="38.1" customHeight="1" outlineLevel="1" x14ac:dyDescent="0.2">
      <c r="A755" s="5" t="s">
        <v>340</v>
      </c>
      <c r="B755" s="5" t="s">
        <v>354</v>
      </c>
      <c r="C755" s="5" t="s">
        <v>784</v>
      </c>
      <c r="D755" s="5" t="s">
        <v>12</v>
      </c>
      <c r="E755" s="5" t="s">
        <v>13</v>
      </c>
      <c r="F755" s="5" t="s">
        <v>16</v>
      </c>
      <c r="G755" s="6">
        <v>31500</v>
      </c>
      <c r="H755" s="748" t="str">
        <f>HYPERLINK("https://adv-map.ru/place/?LINK=e9023a294f2c283226ca449e48cd591b","Ссылка")</f>
        <v>Ссылка</v>
      </c>
      <c r="I755" s="5" t="s">
        <v>785</v>
      </c>
    </row>
    <row r="756" spans="1:9" s="4" customFormat="1" ht="38.1" customHeight="1" outlineLevel="1" x14ac:dyDescent="0.2">
      <c r="A756" s="5" t="s">
        <v>340</v>
      </c>
      <c r="B756" s="5" t="s">
        <v>341</v>
      </c>
      <c r="C756" s="5" t="s">
        <v>786</v>
      </c>
      <c r="D756" s="5" t="s">
        <v>347</v>
      </c>
      <c r="E756" s="5" t="s">
        <v>348</v>
      </c>
      <c r="F756" s="5" t="s">
        <v>14</v>
      </c>
      <c r="G756" s="6">
        <v>20160</v>
      </c>
      <c r="H756" s="749" t="str">
        <f>HYPERLINK("https://adv-map.ru/place/?LINK=df7563c3d17ef25ad6e55aaa85dc8569","Ссылка")</f>
        <v>Ссылка</v>
      </c>
      <c r="I756" s="5" t="s">
        <v>787</v>
      </c>
    </row>
    <row r="757" spans="1:9" s="4" customFormat="1" ht="38.1" customHeight="1" outlineLevel="1" x14ac:dyDescent="0.2">
      <c r="A757" s="5" t="s">
        <v>340</v>
      </c>
      <c r="B757" s="5" t="s">
        <v>341</v>
      </c>
      <c r="C757" s="5" t="s">
        <v>786</v>
      </c>
      <c r="D757" s="5" t="s">
        <v>347</v>
      </c>
      <c r="E757" s="5" t="s">
        <v>348</v>
      </c>
      <c r="F757" s="5" t="s">
        <v>16</v>
      </c>
      <c r="G757" s="6">
        <v>15120</v>
      </c>
      <c r="H757" s="750" t="str">
        <f>HYPERLINK("https://adv-map.ru/place/?LINK=4c18d4ae1719bd4272f123c6ec34da27","Ссылка")</f>
        <v>Ссылка</v>
      </c>
      <c r="I757" s="5" t="s">
        <v>788</v>
      </c>
    </row>
    <row r="758" spans="1:9" s="4" customFormat="1" ht="38.1" customHeight="1" outlineLevel="1" x14ac:dyDescent="0.2">
      <c r="A758" s="5" t="s">
        <v>340</v>
      </c>
      <c r="B758" s="5" t="s">
        <v>341</v>
      </c>
      <c r="C758" s="5" t="s">
        <v>789</v>
      </c>
      <c r="D758" s="5" t="s">
        <v>347</v>
      </c>
      <c r="E758" s="5" t="s">
        <v>348</v>
      </c>
      <c r="F758" s="5" t="s">
        <v>14</v>
      </c>
      <c r="G758" s="6">
        <v>20160</v>
      </c>
      <c r="H758" s="751" t="str">
        <f>HYPERLINK("https://adv-map.ru/place/?LINK=8e90af8aabdef26fcd4d9c94fdc83709","Ссылка")</f>
        <v>Ссылка</v>
      </c>
      <c r="I758" s="5" t="s">
        <v>790</v>
      </c>
    </row>
    <row r="759" spans="1:9" s="4" customFormat="1" ht="38.1" customHeight="1" outlineLevel="1" x14ac:dyDescent="0.2">
      <c r="A759" s="5" t="s">
        <v>340</v>
      </c>
      <c r="B759" s="5" t="s">
        <v>341</v>
      </c>
      <c r="C759" s="5" t="s">
        <v>789</v>
      </c>
      <c r="D759" s="5" t="s">
        <v>347</v>
      </c>
      <c r="E759" s="5" t="s">
        <v>348</v>
      </c>
      <c r="F759" s="5" t="s">
        <v>16</v>
      </c>
      <c r="G759" s="6">
        <v>15120</v>
      </c>
      <c r="H759" s="752" t="str">
        <f>HYPERLINK("https://adv-map.ru/place/?LINK=fd9d3589345ca06517fe609357345d5b","Ссылка")</f>
        <v>Ссылка</v>
      </c>
      <c r="I759" s="5" t="s">
        <v>790</v>
      </c>
    </row>
    <row r="760" spans="1:9" s="4" customFormat="1" ht="51" customHeight="1" outlineLevel="1" x14ac:dyDescent="0.2">
      <c r="A760" s="5" t="s">
        <v>340</v>
      </c>
      <c r="B760" s="5" t="s">
        <v>341</v>
      </c>
      <c r="C760" s="5" t="s">
        <v>791</v>
      </c>
      <c r="D760" s="5" t="s">
        <v>347</v>
      </c>
      <c r="E760" s="5" t="s">
        <v>348</v>
      </c>
      <c r="F760" s="5" t="s">
        <v>14</v>
      </c>
      <c r="G760" s="6">
        <v>20160</v>
      </c>
      <c r="H760" s="753" t="str">
        <f>HYPERLINK("https://adv-map.ru/place/?LINK=8bc03937a6205e47555b34ddb435dba0","Ссылка")</f>
        <v>Ссылка</v>
      </c>
      <c r="I760" s="5" t="s">
        <v>792</v>
      </c>
    </row>
    <row r="761" spans="1:9" s="4" customFormat="1" ht="38.1" customHeight="1" outlineLevel="1" x14ac:dyDescent="0.2">
      <c r="A761" s="5" t="s">
        <v>340</v>
      </c>
      <c r="B761" s="5" t="s">
        <v>341</v>
      </c>
      <c r="C761" s="5" t="s">
        <v>791</v>
      </c>
      <c r="D761" s="5" t="s">
        <v>347</v>
      </c>
      <c r="E761" s="5" t="s">
        <v>348</v>
      </c>
      <c r="F761" s="5" t="s">
        <v>16</v>
      </c>
      <c r="G761" s="6">
        <v>15120</v>
      </c>
      <c r="H761" s="754" t="str">
        <f>HYPERLINK("https://adv-map.ru/place/?LINK=ccc984ef481bd9c6eb52bf89f807f8d2","Ссылка")</f>
        <v>Ссылка</v>
      </c>
      <c r="I761" s="5" t="s">
        <v>793</v>
      </c>
    </row>
    <row r="762" spans="1:9" s="4" customFormat="1" ht="38.1" customHeight="1" outlineLevel="1" x14ac:dyDescent="0.2">
      <c r="A762" s="5" t="s">
        <v>340</v>
      </c>
      <c r="B762" s="5" t="s">
        <v>341</v>
      </c>
      <c r="C762" s="5" t="s">
        <v>794</v>
      </c>
      <c r="D762" s="5" t="s">
        <v>347</v>
      </c>
      <c r="E762" s="5" t="s">
        <v>348</v>
      </c>
      <c r="F762" s="5" t="s">
        <v>14</v>
      </c>
      <c r="G762" s="6">
        <v>20160</v>
      </c>
      <c r="H762" s="755" t="str">
        <f>HYPERLINK("https://adv-map.ru/place/?LINK=87773788e81f9eef6b3fb5432286521d","Ссылка")</f>
        <v>Ссылка</v>
      </c>
      <c r="I762" s="5" t="s">
        <v>795</v>
      </c>
    </row>
    <row r="763" spans="1:9" s="4" customFormat="1" ht="38.1" customHeight="1" outlineLevel="1" x14ac:dyDescent="0.2">
      <c r="A763" s="5" t="s">
        <v>340</v>
      </c>
      <c r="B763" s="5" t="s">
        <v>341</v>
      </c>
      <c r="C763" s="5" t="s">
        <v>794</v>
      </c>
      <c r="D763" s="5" t="s">
        <v>347</v>
      </c>
      <c r="E763" s="5" t="s">
        <v>348</v>
      </c>
      <c r="F763" s="5" t="s">
        <v>16</v>
      </c>
      <c r="G763" s="6">
        <v>15120</v>
      </c>
      <c r="H763" s="756" t="str">
        <f>HYPERLINK("https://adv-map.ru/place/?LINK=96b2619260e12b6f38dcdd261c059236","Ссылка")</f>
        <v>Ссылка</v>
      </c>
      <c r="I763" s="5" t="s">
        <v>796</v>
      </c>
    </row>
    <row r="764" spans="1:9" s="4" customFormat="1" ht="38.1" customHeight="1" outlineLevel="1" x14ac:dyDescent="0.2">
      <c r="A764" s="5" t="s">
        <v>340</v>
      </c>
      <c r="B764" s="5" t="s">
        <v>341</v>
      </c>
      <c r="C764" s="5" t="s">
        <v>797</v>
      </c>
      <c r="D764" s="5" t="s">
        <v>12</v>
      </c>
      <c r="E764" s="5" t="s">
        <v>13</v>
      </c>
      <c r="F764" s="5" t="s">
        <v>14</v>
      </c>
      <c r="G764" s="6">
        <v>35700</v>
      </c>
      <c r="H764" s="757" t="str">
        <f>HYPERLINK("https://adv-map.ru/place/?LINK=2084265955a2d1f4126d12a3141048b1","Ссылка")</f>
        <v>Ссылка</v>
      </c>
      <c r="I764" s="5" t="s">
        <v>798</v>
      </c>
    </row>
    <row r="765" spans="1:9" s="4" customFormat="1" ht="38.1" customHeight="1" outlineLevel="1" x14ac:dyDescent="0.2">
      <c r="A765" s="5" t="s">
        <v>340</v>
      </c>
      <c r="B765" s="5" t="s">
        <v>341</v>
      </c>
      <c r="C765" s="5" t="s">
        <v>799</v>
      </c>
      <c r="D765" s="5" t="s">
        <v>12</v>
      </c>
      <c r="E765" s="5" t="s">
        <v>13</v>
      </c>
      <c r="F765" s="5" t="s">
        <v>16</v>
      </c>
      <c r="G765" s="6">
        <v>27300</v>
      </c>
      <c r="H765" s="758" t="str">
        <f>HYPERLINK("https://adv-map.ru/place/?LINK=16c3a8a65969c794ddcedfbde6dd7143","Ссылка")</f>
        <v>Ссылка</v>
      </c>
      <c r="I765" s="5" t="s">
        <v>798</v>
      </c>
    </row>
    <row r="766" spans="1:9" s="4" customFormat="1" ht="38.1" customHeight="1" outlineLevel="1" x14ac:dyDescent="0.2">
      <c r="A766" s="5" t="s">
        <v>340</v>
      </c>
      <c r="B766" s="5" t="s">
        <v>341</v>
      </c>
      <c r="C766" s="5" t="s">
        <v>800</v>
      </c>
      <c r="D766" s="5" t="s">
        <v>12</v>
      </c>
      <c r="E766" s="5" t="s">
        <v>13</v>
      </c>
      <c r="F766" s="5" t="s">
        <v>14</v>
      </c>
      <c r="G766" s="6">
        <v>31500</v>
      </c>
      <c r="H766" s="759" t="str">
        <f>HYPERLINK("https://adv-map.ru/place/?LINK=6a522cc6a8ebe1887d26aa5392eec5ff","Ссылка")</f>
        <v>Ссылка</v>
      </c>
      <c r="I766" s="5" t="s">
        <v>801</v>
      </c>
    </row>
    <row r="767" spans="1:9" s="4" customFormat="1" ht="38.1" customHeight="1" outlineLevel="1" x14ac:dyDescent="0.2">
      <c r="A767" s="5" t="s">
        <v>340</v>
      </c>
      <c r="B767" s="5" t="s">
        <v>341</v>
      </c>
      <c r="C767" s="5" t="s">
        <v>802</v>
      </c>
      <c r="D767" s="5" t="s">
        <v>12</v>
      </c>
      <c r="E767" s="5" t="s">
        <v>13</v>
      </c>
      <c r="F767" s="5" t="s">
        <v>16</v>
      </c>
      <c r="G767" s="6">
        <v>25200</v>
      </c>
      <c r="H767" s="760" t="str">
        <f>HYPERLINK("https://adv-map.ru/place/?LINK=f50c65b3b8dd6807632e7bd852ca52b5","Ссылка")</f>
        <v>Ссылка</v>
      </c>
      <c r="I767" s="5" t="s">
        <v>801</v>
      </c>
    </row>
    <row r="768" spans="1:9" s="4" customFormat="1" ht="38.1" customHeight="1" outlineLevel="1" x14ac:dyDescent="0.2">
      <c r="A768" s="5" t="s">
        <v>340</v>
      </c>
      <c r="B768" s="5" t="s">
        <v>341</v>
      </c>
      <c r="C768" s="5" t="s">
        <v>803</v>
      </c>
      <c r="D768" s="5" t="s">
        <v>12</v>
      </c>
      <c r="E768" s="5" t="s">
        <v>13</v>
      </c>
      <c r="F768" s="5" t="s">
        <v>14</v>
      </c>
      <c r="G768" s="6">
        <v>37800</v>
      </c>
      <c r="H768" s="761" t="str">
        <f>HYPERLINK("https://adv-map.ru/place/?LINK=efd24c3aec7dc804f1eda4ad0d6eb0a4","Ссылка")</f>
        <v>Ссылка</v>
      </c>
      <c r="I768" s="5" t="s">
        <v>804</v>
      </c>
    </row>
    <row r="769" spans="1:9" s="4" customFormat="1" ht="38.1" customHeight="1" outlineLevel="1" x14ac:dyDescent="0.2">
      <c r="A769" s="5" t="s">
        <v>340</v>
      </c>
      <c r="B769" s="5" t="s">
        <v>341</v>
      </c>
      <c r="C769" s="5" t="s">
        <v>803</v>
      </c>
      <c r="D769" s="5" t="s">
        <v>12</v>
      </c>
      <c r="E769" s="5" t="s">
        <v>13</v>
      </c>
      <c r="F769" s="5" t="s">
        <v>16</v>
      </c>
      <c r="G769" s="6">
        <v>25200</v>
      </c>
      <c r="H769" s="762" t="str">
        <f>HYPERLINK("https://adv-map.ru/place/?LINK=d8d691c636ab454f6f9618922869f948","Ссылка")</f>
        <v>Ссылка</v>
      </c>
      <c r="I769" s="5" t="s">
        <v>804</v>
      </c>
    </row>
    <row r="770" spans="1:9" s="4" customFormat="1" ht="38.1" customHeight="1" outlineLevel="1" x14ac:dyDescent="0.2">
      <c r="A770" s="5" t="s">
        <v>340</v>
      </c>
      <c r="B770" s="5" t="s">
        <v>341</v>
      </c>
      <c r="C770" s="5" t="s">
        <v>805</v>
      </c>
      <c r="D770" s="5" t="s">
        <v>12</v>
      </c>
      <c r="E770" s="5" t="s">
        <v>13</v>
      </c>
      <c r="F770" s="5" t="s">
        <v>14</v>
      </c>
      <c r="G770" s="6">
        <v>31500</v>
      </c>
      <c r="H770" s="763" t="str">
        <f>HYPERLINK("https://adv-map.ru/place/?LINK=2c5bf8c80480fe50ad5ebd93c76afdf3","Ссылка")</f>
        <v>Ссылка</v>
      </c>
      <c r="I770" s="5" t="s">
        <v>806</v>
      </c>
    </row>
    <row r="771" spans="1:9" s="4" customFormat="1" ht="38.1" customHeight="1" outlineLevel="1" x14ac:dyDescent="0.2">
      <c r="A771" s="5" t="s">
        <v>340</v>
      </c>
      <c r="B771" s="5" t="s">
        <v>341</v>
      </c>
      <c r="C771" s="5" t="s">
        <v>805</v>
      </c>
      <c r="D771" s="5" t="s">
        <v>12</v>
      </c>
      <c r="E771" s="5" t="s">
        <v>13</v>
      </c>
      <c r="F771" s="5" t="s">
        <v>16</v>
      </c>
      <c r="G771" s="6">
        <v>21000</v>
      </c>
      <c r="H771" s="764" t="str">
        <f>HYPERLINK("https://adv-map.ru/place/?LINK=79cc0801d16d4d12392ce9b44942bf30","Ссылка")</f>
        <v>Ссылка</v>
      </c>
      <c r="I771" s="5" t="s">
        <v>806</v>
      </c>
    </row>
    <row r="772" spans="1:9" s="4" customFormat="1" ht="51" customHeight="1" outlineLevel="1" x14ac:dyDescent="0.2">
      <c r="A772" s="5" t="s">
        <v>340</v>
      </c>
      <c r="B772" s="5" t="s">
        <v>341</v>
      </c>
      <c r="C772" s="5" t="s">
        <v>807</v>
      </c>
      <c r="D772" s="5" t="s">
        <v>49</v>
      </c>
      <c r="E772" s="5" t="s">
        <v>13</v>
      </c>
      <c r="F772" s="5" t="s">
        <v>28</v>
      </c>
      <c r="G772" s="6">
        <v>44100</v>
      </c>
      <c r="H772" s="765" t="str">
        <f>HYPERLINK("https://adv-map.ru/place/?LINK=771ad0b5f20762207169aab7bb743dda","Ссылка")</f>
        <v>Ссылка</v>
      </c>
      <c r="I772" s="5" t="s">
        <v>808</v>
      </c>
    </row>
    <row r="773" spans="1:9" s="4" customFormat="1" ht="51" customHeight="1" outlineLevel="1" x14ac:dyDescent="0.2">
      <c r="A773" s="5" t="s">
        <v>340</v>
      </c>
      <c r="B773" s="5" t="s">
        <v>341</v>
      </c>
      <c r="C773" s="5" t="s">
        <v>807</v>
      </c>
      <c r="D773" s="5" t="s">
        <v>49</v>
      </c>
      <c r="E773" s="5" t="s">
        <v>13</v>
      </c>
      <c r="F773" s="5" t="s">
        <v>30</v>
      </c>
      <c r="G773" s="6">
        <v>44100</v>
      </c>
      <c r="H773" s="766" t="str">
        <f>HYPERLINK("https://adv-map.ru/place/?LINK=cdcd088b19aa51688623669de4225aa5","Ссылка")</f>
        <v>Ссылка</v>
      </c>
      <c r="I773" s="5" t="s">
        <v>808</v>
      </c>
    </row>
    <row r="774" spans="1:9" s="4" customFormat="1" ht="38.1" customHeight="1" outlineLevel="1" x14ac:dyDescent="0.2">
      <c r="A774" s="5" t="s">
        <v>340</v>
      </c>
      <c r="B774" s="5" t="s">
        <v>341</v>
      </c>
      <c r="C774" s="5" t="s">
        <v>807</v>
      </c>
      <c r="D774" s="5" t="s">
        <v>49</v>
      </c>
      <c r="E774" s="5" t="s">
        <v>13</v>
      </c>
      <c r="F774" s="5" t="s">
        <v>31</v>
      </c>
      <c r="G774" s="6">
        <v>44100</v>
      </c>
      <c r="H774" s="767" t="str">
        <f>HYPERLINK("https://adv-map.ru/place/?LINK=8c02997e9f3a0fa501e401d891e10a52","Ссылка")</f>
        <v>Ссылка</v>
      </c>
      <c r="I774" s="5" t="s">
        <v>808</v>
      </c>
    </row>
    <row r="775" spans="1:9" s="4" customFormat="1" ht="38.1" customHeight="1" outlineLevel="1" x14ac:dyDescent="0.2">
      <c r="A775" s="5" t="s">
        <v>340</v>
      </c>
      <c r="B775" s="5" t="s">
        <v>341</v>
      </c>
      <c r="C775" s="5" t="s">
        <v>807</v>
      </c>
      <c r="D775" s="5" t="s">
        <v>12</v>
      </c>
      <c r="E775" s="5" t="s">
        <v>13</v>
      </c>
      <c r="F775" s="5" t="s">
        <v>16</v>
      </c>
      <c r="G775" s="6">
        <v>33600</v>
      </c>
      <c r="H775" s="768" t="str">
        <f>HYPERLINK("https://adv-map.ru/place/?LINK=4038004ab5f7a23de7acb5d1c7d072c0","Ссылка")</f>
        <v>Ссылка</v>
      </c>
      <c r="I775" s="5" t="s">
        <v>809</v>
      </c>
    </row>
    <row r="776" spans="1:9" s="4" customFormat="1" ht="38.1" customHeight="1" outlineLevel="1" x14ac:dyDescent="0.2">
      <c r="A776" s="5" t="s">
        <v>340</v>
      </c>
      <c r="B776" s="5" t="s">
        <v>341</v>
      </c>
      <c r="C776" s="5" t="s">
        <v>810</v>
      </c>
      <c r="D776" s="5" t="s">
        <v>12</v>
      </c>
      <c r="E776" s="5" t="s">
        <v>13</v>
      </c>
      <c r="F776" s="5" t="s">
        <v>16</v>
      </c>
      <c r="G776" s="6">
        <v>37800</v>
      </c>
      <c r="H776" s="769" t="str">
        <f>HYPERLINK("https://adv-map.ru/place/?LINK=4e9c267a94226a767cd04b1bbfa72833","Ссылка")</f>
        <v>Ссылка</v>
      </c>
      <c r="I776" s="5" t="s">
        <v>811</v>
      </c>
    </row>
    <row r="777" spans="1:9" s="4" customFormat="1" ht="38.1" customHeight="1" outlineLevel="1" x14ac:dyDescent="0.2">
      <c r="A777" s="5" t="s">
        <v>340</v>
      </c>
      <c r="B777" s="5" t="s">
        <v>341</v>
      </c>
      <c r="C777" s="5" t="s">
        <v>812</v>
      </c>
      <c r="D777" s="5" t="s">
        <v>12</v>
      </c>
      <c r="E777" s="5" t="s">
        <v>13</v>
      </c>
      <c r="F777" s="5" t="s">
        <v>14</v>
      </c>
      <c r="G777" s="6">
        <v>44100</v>
      </c>
      <c r="H777" s="770" t="str">
        <f>HYPERLINK("https://adv-map.ru/place/?LINK=b209de4506481636596a3c0209bfaac8","Ссылка")</f>
        <v>Ссылка</v>
      </c>
      <c r="I777" s="5" t="s">
        <v>811</v>
      </c>
    </row>
    <row r="778" spans="1:9" s="4" customFormat="1" ht="38.1" customHeight="1" outlineLevel="1" x14ac:dyDescent="0.2">
      <c r="A778" s="5" t="s">
        <v>340</v>
      </c>
      <c r="B778" s="5" t="s">
        <v>341</v>
      </c>
      <c r="C778" s="5" t="s">
        <v>813</v>
      </c>
      <c r="D778" s="5" t="s">
        <v>12</v>
      </c>
      <c r="E778" s="5" t="s">
        <v>13</v>
      </c>
      <c r="F778" s="5" t="s">
        <v>16</v>
      </c>
      <c r="G778" s="6">
        <v>25200</v>
      </c>
      <c r="H778" s="771" t="str">
        <f>HYPERLINK("https://adv-map.ru/place/?LINK=6c8efb4473646580117f34e987a8c994","Ссылка")</f>
        <v>Ссылка</v>
      </c>
      <c r="I778" s="5" t="s">
        <v>814</v>
      </c>
    </row>
    <row r="779" spans="1:9" s="4" customFormat="1" ht="38.1" customHeight="1" outlineLevel="1" x14ac:dyDescent="0.2">
      <c r="A779" s="5" t="s">
        <v>340</v>
      </c>
      <c r="B779" s="5" t="s">
        <v>341</v>
      </c>
      <c r="C779" s="5" t="s">
        <v>815</v>
      </c>
      <c r="D779" s="5" t="s">
        <v>12</v>
      </c>
      <c r="E779" s="5" t="s">
        <v>13</v>
      </c>
      <c r="F779" s="5" t="s">
        <v>14</v>
      </c>
      <c r="G779" s="6">
        <v>35280</v>
      </c>
      <c r="H779" s="772" t="str">
        <f>HYPERLINK("https://adv-map.ru/place/?LINK=07957e285ca0e59886eac6dfee8d7d15","Ссылка")</f>
        <v>Ссылка</v>
      </c>
      <c r="I779" s="5" t="s">
        <v>814</v>
      </c>
    </row>
    <row r="780" spans="1:9" s="4" customFormat="1" ht="38.1" customHeight="1" outlineLevel="1" x14ac:dyDescent="0.2">
      <c r="A780" s="5" t="s">
        <v>340</v>
      </c>
      <c r="B780" s="5" t="s">
        <v>341</v>
      </c>
      <c r="C780" s="5" t="s">
        <v>816</v>
      </c>
      <c r="D780" s="5" t="s">
        <v>12</v>
      </c>
      <c r="E780" s="5" t="s">
        <v>13</v>
      </c>
      <c r="F780" s="5" t="s">
        <v>14</v>
      </c>
      <c r="G780" s="6">
        <v>35280</v>
      </c>
      <c r="H780" s="773" t="str">
        <f>HYPERLINK("https://adv-map.ru/place/?LINK=32e46d961a58995a5d0529d2f110bcc3","Ссылка")</f>
        <v>Ссылка</v>
      </c>
      <c r="I780" s="5" t="s">
        <v>817</v>
      </c>
    </row>
    <row r="781" spans="1:9" s="4" customFormat="1" ht="38.1" customHeight="1" outlineLevel="1" x14ac:dyDescent="0.2">
      <c r="A781" s="5" t="s">
        <v>340</v>
      </c>
      <c r="B781" s="5" t="s">
        <v>341</v>
      </c>
      <c r="C781" s="5" t="s">
        <v>818</v>
      </c>
      <c r="D781" s="5" t="s">
        <v>12</v>
      </c>
      <c r="E781" s="5" t="s">
        <v>13</v>
      </c>
      <c r="F781" s="5" t="s">
        <v>16</v>
      </c>
      <c r="G781" s="6">
        <v>27300</v>
      </c>
      <c r="H781" s="774" t="str">
        <f>HYPERLINK("https://adv-map.ru/place/?LINK=ad3373eecdc6f28e5a04767935670e84","Ссылка")</f>
        <v>Ссылка</v>
      </c>
      <c r="I781" s="5" t="s">
        <v>817</v>
      </c>
    </row>
    <row r="782" spans="1:9" s="4" customFormat="1" ht="38.1" customHeight="1" outlineLevel="1" x14ac:dyDescent="0.2">
      <c r="A782" s="5" t="s">
        <v>340</v>
      </c>
      <c r="B782" s="5" t="s">
        <v>341</v>
      </c>
      <c r="C782" s="5" t="s">
        <v>819</v>
      </c>
      <c r="D782" s="5" t="s">
        <v>12</v>
      </c>
      <c r="E782" s="5" t="s">
        <v>13</v>
      </c>
      <c r="F782" s="5" t="s">
        <v>14</v>
      </c>
      <c r="G782" s="6">
        <v>26250</v>
      </c>
      <c r="H782" s="775" t="str">
        <f>HYPERLINK("https://adv-map.ru/place/?LINK=995d268b9fc395989092314adc61554a","Ссылка")</f>
        <v>Ссылка</v>
      </c>
      <c r="I782" s="5" t="s">
        <v>820</v>
      </c>
    </row>
    <row r="783" spans="1:9" s="4" customFormat="1" ht="38.1" customHeight="1" outlineLevel="1" x14ac:dyDescent="0.2">
      <c r="A783" s="5" t="s">
        <v>340</v>
      </c>
      <c r="B783" s="5" t="s">
        <v>341</v>
      </c>
      <c r="C783" s="5" t="s">
        <v>819</v>
      </c>
      <c r="D783" s="5" t="s">
        <v>12</v>
      </c>
      <c r="E783" s="5" t="s">
        <v>13</v>
      </c>
      <c r="F783" s="5" t="s">
        <v>16</v>
      </c>
      <c r="G783" s="6">
        <v>21000</v>
      </c>
      <c r="H783" s="776" t="str">
        <f>HYPERLINK("https://adv-map.ru/place/?LINK=0aaf95453c221e46566de4c23765a07f","Ссылка")</f>
        <v>Ссылка</v>
      </c>
      <c r="I783" s="5" t="s">
        <v>820</v>
      </c>
    </row>
    <row r="784" spans="1:9" s="4" customFormat="1" ht="38.1" customHeight="1" outlineLevel="1" x14ac:dyDescent="0.2">
      <c r="A784" s="5" t="s">
        <v>340</v>
      </c>
      <c r="B784" s="5" t="s">
        <v>341</v>
      </c>
      <c r="C784" s="5" t="s">
        <v>821</v>
      </c>
      <c r="D784" s="5" t="s">
        <v>347</v>
      </c>
      <c r="E784" s="5" t="s">
        <v>348</v>
      </c>
      <c r="F784" s="5" t="s">
        <v>14</v>
      </c>
      <c r="G784" s="6">
        <v>20160</v>
      </c>
      <c r="H784" s="777" t="str">
        <f>HYPERLINK("https://adv-map.ru/place/?LINK=e325523715db719b04e4e43440fa66ad","Ссылка")</f>
        <v>Ссылка</v>
      </c>
      <c r="I784" s="5" t="s">
        <v>822</v>
      </c>
    </row>
    <row r="785" spans="1:9" s="4" customFormat="1" ht="38.1" customHeight="1" outlineLevel="1" x14ac:dyDescent="0.2">
      <c r="A785" s="5" t="s">
        <v>340</v>
      </c>
      <c r="B785" s="5" t="s">
        <v>341</v>
      </c>
      <c r="C785" s="5" t="s">
        <v>821</v>
      </c>
      <c r="D785" s="5" t="s">
        <v>347</v>
      </c>
      <c r="E785" s="5" t="s">
        <v>348</v>
      </c>
      <c r="F785" s="5" t="s">
        <v>16</v>
      </c>
      <c r="G785" s="6">
        <v>15120</v>
      </c>
      <c r="H785" s="778" t="str">
        <f>HYPERLINK("https://adv-map.ru/place/?LINK=f7c7c01aba0383d54b9b99e5ff743176","Ссылка")</f>
        <v>Ссылка</v>
      </c>
      <c r="I785" s="5" t="s">
        <v>823</v>
      </c>
    </row>
    <row r="786" spans="1:9" s="4" customFormat="1" ht="38.1" customHeight="1" outlineLevel="1" x14ac:dyDescent="0.2">
      <c r="A786" s="5" t="s">
        <v>340</v>
      </c>
      <c r="B786" s="5" t="s">
        <v>341</v>
      </c>
      <c r="C786" s="5" t="s">
        <v>824</v>
      </c>
      <c r="D786" s="5" t="s">
        <v>12</v>
      </c>
      <c r="E786" s="5" t="s">
        <v>13</v>
      </c>
      <c r="F786" s="5" t="s">
        <v>14</v>
      </c>
      <c r="G786" s="6">
        <v>26250</v>
      </c>
      <c r="H786" s="779" t="str">
        <f>HYPERLINK("https://adv-map.ru/place/?LINK=3deb6877ffe2a8ab82019f001287f7a4","Ссылка")</f>
        <v>Ссылка</v>
      </c>
      <c r="I786" s="5" t="s">
        <v>825</v>
      </c>
    </row>
    <row r="787" spans="1:9" s="4" customFormat="1" ht="38.1" customHeight="1" outlineLevel="1" x14ac:dyDescent="0.2">
      <c r="A787" s="5" t="s">
        <v>340</v>
      </c>
      <c r="B787" s="5" t="s">
        <v>341</v>
      </c>
      <c r="C787" s="5" t="s">
        <v>826</v>
      </c>
      <c r="D787" s="5" t="s">
        <v>12</v>
      </c>
      <c r="E787" s="5" t="s">
        <v>13</v>
      </c>
      <c r="F787" s="5" t="s">
        <v>16</v>
      </c>
      <c r="G787" s="6">
        <v>21000</v>
      </c>
      <c r="H787" s="780" t="str">
        <f>HYPERLINK("https://adv-map.ru/place/?LINK=7d6efdbb78d0950743ddbaa056ca65e5","Ссылка")</f>
        <v>Ссылка</v>
      </c>
      <c r="I787" s="5" t="s">
        <v>825</v>
      </c>
    </row>
    <row r="788" spans="1:9" s="4" customFormat="1" ht="51" customHeight="1" outlineLevel="1" x14ac:dyDescent="0.2">
      <c r="A788" s="5" t="s">
        <v>340</v>
      </c>
      <c r="B788" s="5" t="s">
        <v>341</v>
      </c>
      <c r="C788" s="5" t="s">
        <v>827</v>
      </c>
      <c r="D788" s="5" t="s">
        <v>12</v>
      </c>
      <c r="E788" s="5" t="s">
        <v>13</v>
      </c>
      <c r="F788" s="5" t="s">
        <v>14</v>
      </c>
      <c r="G788" s="6">
        <v>31500</v>
      </c>
      <c r="H788" s="781" t="str">
        <f>HYPERLINK("https://adv-map.ru/place/?LINK=7d196c79d63267a192272866de3b800e","Ссылка")</f>
        <v>Ссылка</v>
      </c>
      <c r="I788" s="5" t="s">
        <v>828</v>
      </c>
    </row>
    <row r="789" spans="1:9" s="4" customFormat="1" ht="38.1" customHeight="1" outlineLevel="1" x14ac:dyDescent="0.2">
      <c r="A789" s="5" t="s">
        <v>340</v>
      </c>
      <c r="B789" s="5" t="s">
        <v>341</v>
      </c>
      <c r="C789" s="5" t="s">
        <v>827</v>
      </c>
      <c r="D789" s="5" t="s">
        <v>12</v>
      </c>
      <c r="E789" s="5" t="s">
        <v>13</v>
      </c>
      <c r="F789" s="5" t="s">
        <v>16</v>
      </c>
      <c r="G789" s="6">
        <v>28980</v>
      </c>
      <c r="H789" s="782" t="str">
        <f>HYPERLINK("https://adv-map.ru/place/?LINK=4208df1409ac05dce625ee4c6b9d710b","Ссылка")</f>
        <v>Ссылка</v>
      </c>
      <c r="I789" s="5" t="s">
        <v>828</v>
      </c>
    </row>
    <row r="790" spans="1:9" s="4" customFormat="1" ht="38.1" customHeight="1" outlineLevel="1" x14ac:dyDescent="0.2">
      <c r="A790" s="5" t="s">
        <v>340</v>
      </c>
      <c r="B790" s="5" t="s">
        <v>341</v>
      </c>
      <c r="C790" s="5" t="s">
        <v>829</v>
      </c>
      <c r="D790" s="5" t="s">
        <v>12</v>
      </c>
      <c r="E790" s="5" t="s">
        <v>13</v>
      </c>
      <c r="F790" s="5" t="s">
        <v>14</v>
      </c>
      <c r="G790" s="6">
        <v>35700</v>
      </c>
      <c r="H790" s="783" t="str">
        <f>HYPERLINK("https://adv-map.ru/place/?LINK=e78726018778a4b6c76b0edd56743cff","Ссылка")</f>
        <v>Ссылка</v>
      </c>
      <c r="I790" s="5" t="s">
        <v>830</v>
      </c>
    </row>
    <row r="791" spans="1:9" s="4" customFormat="1" ht="38.1" customHeight="1" outlineLevel="1" x14ac:dyDescent="0.2">
      <c r="A791" s="5" t="s">
        <v>340</v>
      </c>
      <c r="B791" s="5" t="s">
        <v>341</v>
      </c>
      <c r="C791" s="5" t="s">
        <v>829</v>
      </c>
      <c r="D791" s="5" t="s">
        <v>12</v>
      </c>
      <c r="E791" s="5" t="s">
        <v>13</v>
      </c>
      <c r="F791" s="5" t="s">
        <v>16</v>
      </c>
      <c r="G791" s="6">
        <v>29400</v>
      </c>
      <c r="H791" s="784" t="str">
        <f>HYPERLINK("https://adv-map.ru/place/?LINK=f5ed3dd7ba5f31fcd625fd409292f501","Ссылка")</f>
        <v>Ссылка</v>
      </c>
      <c r="I791" s="5" t="s">
        <v>830</v>
      </c>
    </row>
    <row r="792" spans="1:9" s="4" customFormat="1" ht="38.1" customHeight="1" outlineLevel="1" x14ac:dyDescent="0.2">
      <c r="A792" s="5" t="s">
        <v>340</v>
      </c>
      <c r="B792" s="5" t="s">
        <v>341</v>
      </c>
      <c r="C792" s="5" t="s">
        <v>831</v>
      </c>
      <c r="D792" s="5" t="s">
        <v>347</v>
      </c>
      <c r="E792" s="5" t="s">
        <v>348</v>
      </c>
      <c r="F792" s="5" t="s">
        <v>14</v>
      </c>
      <c r="G792" s="6">
        <v>16800</v>
      </c>
      <c r="H792" s="785" t="str">
        <f>HYPERLINK("https://adv-map.ru/place/?LINK=293d0f19ad8f65c53bafe060b2d19b7e","Ссылка")</f>
        <v>Ссылка</v>
      </c>
      <c r="I792" s="5" t="s">
        <v>832</v>
      </c>
    </row>
    <row r="793" spans="1:9" s="4" customFormat="1" ht="38.1" customHeight="1" outlineLevel="1" x14ac:dyDescent="0.2">
      <c r="A793" s="5" t="s">
        <v>340</v>
      </c>
      <c r="B793" s="5" t="s">
        <v>341</v>
      </c>
      <c r="C793" s="5" t="s">
        <v>831</v>
      </c>
      <c r="D793" s="5" t="s">
        <v>347</v>
      </c>
      <c r="E793" s="5" t="s">
        <v>348</v>
      </c>
      <c r="F793" s="5" t="s">
        <v>16</v>
      </c>
      <c r="G793" s="6">
        <v>12600</v>
      </c>
      <c r="H793" s="786" t="str">
        <f>HYPERLINK("https://adv-map.ru/place/?LINK=c30345ce34428b754ec64e88fe29018d","Ссылка")</f>
        <v>Ссылка</v>
      </c>
      <c r="I793" s="5" t="s">
        <v>832</v>
      </c>
    </row>
    <row r="794" spans="1:9" s="4" customFormat="1" ht="38.1" customHeight="1" outlineLevel="1" x14ac:dyDescent="0.2">
      <c r="A794" s="5" t="s">
        <v>340</v>
      </c>
      <c r="B794" s="5" t="s">
        <v>341</v>
      </c>
      <c r="C794" s="5" t="s">
        <v>833</v>
      </c>
      <c r="D794" s="5" t="s">
        <v>12</v>
      </c>
      <c r="E794" s="5" t="s">
        <v>13</v>
      </c>
      <c r="F794" s="5" t="s">
        <v>14</v>
      </c>
      <c r="G794" s="6">
        <v>35700</v>
      </c>
      <c r="H794" s="787" t="str">
        <f>HYPERLINK("https://adv-map.ru/place/?LINK=aaddaccbfffb1376fca270f99dc5eb27","Ссылка")</f>
        <v>Ссылка</v>
      </c>
      <c r="I794" s="5" t="s">
        <v>834</v>
      </c>
    </row>
    <row r="795" spans="1:9" s="4" customFormat="1" ht="38.1" customHeight="1" outlineLevel="1" x14ac:dyDescent="0.2">
      <c r="A795" s="5" t="s">
        <v>340</v>
      </c>
      <c r="B795" s="5" t="s">
        <v>341</v>
      </c>
      <c r="C795" s="5" t="s">
        <v>833</v>
      </c>
      <c r="D795" s="5" t="s">
        <v>12</v>
      </c>
      <c r="E795" s="5" t="s">
        <v>13</v>
      </c>
      <c r="F795" s="5" t="s">
        <v>16</v>
      </c>
      <c r="G795" s="6">
        <v>29400</v>
      </c>
      <c r="H795" s="788" t="str">
        <f>HYPERLINK("https://adv-map.ru/place/?LINK=c7eeb986f8338809f836f4791217f418","Ссылка")</f>
        <v>Ссылка</v>
      </c>
      <c r="I795" s="5" t="s">
        <v>834</v>
      </c>
    </row>
    <row r="796" spans="1:9" s="4" customFormat="1" ht="38.1" customHeight="1" outlineLevel="1" x14ac:dyDescent="0.2">
      <c r="A796" s="5" t="s">
        <v>340</v>
      </c>
      <c r="B796" s="5" t="s">
        <v>134</v>
      </c>
      <c r="C796" s="5" t="s">
        <v>835</v>
      </c>
      <c r="D796" s="5" t="s">
        <v>347</v>
      </c>
      <c r="E796" s="5" t="s">
        <v>348</v>
      </c>
      <c r="F796" s="5" t="s">
        <v>14</v>
      </c>
      <c r="G796" s="6">
        <v>25200</v>
      </c>
      <c r="H796" s="789" t="str">
        <f>HYPERLINK("https://adv-map.ru/place/?LINK=181657dc0536bd188d2e552f7ae24d2b","Ссылка")</f>
        <v>Ссылка</v>
      </c>
      <c r="I796" s="5" t="s">
        <v>836</v>
      </c>
    </row>
    <row r="797" spans="1:9" s="4" customFormat="1" ht="38.1" customHeight="1" outlineLevel="1" x14ac:dyDescent="0.2">
      <c r="A797" s="5" t="s">
        <v>340</v>
      </c>
      <c r="B797" s="5" t="s">
        <v>134</v>
      </c>
      <c r="C797" s="5" t="s">
        <v>835</v>
      </c>
      <c r="D797" s="5" t="s">
        <v>347</v>
      </c>
      <c r="E797" s="5" t="s">
        <v>348</v>
      </c>
      <c r="F797" s="5" t="s">
        <v>16</v>
      </c>
      <c r="G797" s="6">
        <v>20160</v>
      </c>
      <c r="H797" s="790" t="str">
        <f>HYPERLINK("https://adv-map.ru/place/?LINK=334f2bd493477c81979aab34ad92f9ff","Ссылка")</f>
        <v>Ссылка</v>
      </c>
      <c r="I797" s="5" t="s">
        <v>836</v>
      </c>
    </row>
    <row r="798" spans="1:9" s="4" customFormat="1" ht="38.1" customHeight="1" outlineLevel="1" x14ac:dyDescent="0.2">
      <c r="A798" s="5" t="s">
        <v>340</v>
      </c>
      <c r="B798" s="5" t="s">
        <v>546</v>
      </c>
      <c r="C798" s="5" t="s">
        <v>837</v>
      </c>
      <c r="D798" s="5" t="s">
        <v>12</v>
      </c>
      <c r="E798" s="5" t="s">
        <v>13</v>
      </c>
      <c r="F798" s="5" t="s">
        <v>14</v>
      </c>
      <c r="G798" s="6">
        <v>29400</v>
      </c>
      <c r="H798" s="791" t="str">
        <f>HYPERLINK("https://adv-map.ru/place/?LINK=fcf5cf4591bebf2e618189eaa1145576","Ссылка")</f>
        <v>Ссылка</v>
      </c>
      <c r="I798" s="5" t="s">
        <v>838</v>
      </c>
    </row>
    <row r="799" spans="1:9" s="4" customFormat="1" ht="38.1" customHeight="1" outlineLevel="1" x14ac:dyDescent="0.2">
      <c r="A799" s="5" t="s">
        <v>340</v>
      </c>
      <c r="B799" s="5" t="s">
        <v>546</v>
      </c>
      <c r="C799" s="5" t="s">
        <v>837</v>
      </c>
      <c r="D799" s="5" t="s">
        <v>12</v>
      </c>
      <c r="E799" s="5" t="s">
        <v>13</v>
      </c>
      <c r="F799" s="5" t="s">
        <v>16</v>
      </c>
      <c r="G799" s="6">
        <v>23100</v>
      </c>
      <c r="H799" s="792" t="str">
        <f>HYPERLINK("https://adv-map.ru/place/?LINK=cddd8af84daf87858e9ce62b757abe34","Ссылка")</f>
        <v>Ссылка</v>
      </c>
      <c r="I799" s="5" t="s">
        <v>838</v>
      </c>
    </row>
    <row r="800" spans="1:9" s="4" customFormat="1" ht="38.1" customHeight="1" outlineLevel="1" x14ac:dyDescent="0.2">
      <c r="A800" s="5" t="s">
        <v>340</v>
      </c>
      <c r="B800" s="5" t="s">
        <v>546</v>
      </c>
      <c r="C800" s="5" t="s">
        <v>839</v>
      </c>
      <c r="D800" s="5" t="s">
        <v>12</v>
      </c>
      <c r="E800" s="5" t="s">
        <v>13</v>
      </c>
      <c r="F800" s="5" t="s">
        <v>14</v>
      </c>
      <c r="G800" s="6">
        <v>35280</v>
      </c>
      <c r="H800" s="793" t="str">
        <f>HYPERLINK("https://adv-map.ru/place/?LINK=8340cd0659a45fca1ee5770d924e2968","Ссылка")</f>
        <v>Ссылка</v>
      </c>
      <c r="I800" s="5" t="s">
        <v>840</v>
      </c>
    </row>
    <row r="801" spans="1:9" s="4" customFormat="1" ht="38.1" customHeight="1" outlineLevel="1" x14ac:dyDescent="0.2">
      <c r="A801" s="5" t="s">
        <v>340</v>
      </c>
      <c r="B801" s="5" t="s">
        <v>546</v>
      </c>
      <c r="C801" s="5" t="s">
        <v>839</v>
      </c>
      <c r="D801" s="5" t="s">
        <v>12</v>
      </c>
      <c r="E801" s="5" t="s">
        <v>13</v>
      </c>
      <c r="F801" s="5" t="s">
        <v>16</v>
      </c>
      <c r="G801" s="6">
        <v>27720</v>
      </c>
      <c r="H801" s="794" t="str">
        <f>HYPERLINK("https://adv-map.ru/place/?LINK=47d5d942337a09a9c8bb0848c32bbf7d","Ссылка")</f>
        <v>Ссылка</v>
      </c>
      <c r="I801" s="5" t="s">
        <v>840</v>
      </c>
    </row>
    <row r="802" spans="1:9" s="4" customFormat="1" ht="38.1" customHeight="1" outlineLevel="1" x14ac:dyDescent="0.2">
      <c r="A802" s="5" t="s">
        <v>340</v>
      </c>
      <c r="B802" s="5" t="s">
        <v>546</v>
      </c>
      <c r="C802" s="5" t="s">
        <v>841</v>
      </c>
      <c r="D802" s="5" t="s">
        <v>12</v>
      </c>
      <c r="E802" s="5" t="s">
        <v>13</v>
      </c>
      <c r="F802" s="5" t="s">
        <v>14</v>
      </c>
      <c r="G802" s="6">
        <v>31500</v>
      </c>
      <c r="H802" s="795" t="str">
        <f>HYPERLINK("https://adv-map.ru/place/?LINK=c0a0f9f7410c051a2835c5f18ca84dc4","Ссылка")</f>
        <v>Ссылка</v>
      </c>
      <c r="I802" s="5" t="s">
        <v>842</v>
      </c>
    </row>
    <row r="803" spans="1:9" s="4" customFormat="1" ht="38.1" customHeight="1" outlineLevel="1" x14ac:dyDescent="0.2">
      <c r="A803" s="5" t="s">
        <v>340</v>
      </c>
      <c r="B803" s="5" t="s">
        <v>546</v>
      </c>
      <c r="C803" s="5" t="s">
        <v>841</v>
      </c>
      <c r="D803" s="5" t="s">
        <v>12</v>
      </c>
      <c r="E803" s="5" t="s">
        <v>13</v>
      </c>
      <c r="F803" s="5" t="s">
        <v>16</v>
      </c>
      <c r="G803" s="6">
        <v>25200</v>
      </c>
      <c r="H803" s="796" t="str">
        <f>HYPERLINK("https://adv-map.ru/place/?LINK=c688f4d6fea5fa822ec98f5fab04ac2e","Ссылка")</f>
        <v>Ссылка</v>
      </c>
      <c r="I803" s="5" t="s">
        <v>842</v>
      </c>
    </row>
    <row r="804" spans="1:9" s="4" customFormat="1" ht="38.1" customHeight="1" outlineLevel="1" x14ac:dyDescent="0.2">
      <c r="A804" s="5" t="s">
        <v>340</v>
      </c>
      <c r="B804" s="5" t="s">
        <v>345</v>
      </c>
      <c r="C804" s="5" t="s">
        <v>843</v>
      </c>
      <c r="D804" s="5" t="s">
        <v>12</v>
      </c>
      <c r="E804" s="5" t="s">
        <v>13</v>
      </c>
      <c r="F804" s="5" t="s">
        <v>14</v>
      </c>
      <c r="G804" s="6">
        <v>33600</v>
      </c>
      <c r="H804" s="797" t="str">
        <f>HYPERLINK("https://adv-map.ru/place/?LINK=85a0db0af8d8611b5652f24ce42d7ac9","Ссылка")</f>
        <v>Ссылка</v>
      </c>
      <c r="I804" s="5" t="s">
        <v>844</v>
      </c>
    </row>
    <row r="805" spans="1:9" s="4" customFormat="1" ht="38.1" customHeight="1" outlineLevel="1" x14ac:dyDescent="0.2">
      <c r="A805" s="5" t="s">
        <v>340</v>
      </c>
      <c r="B805" s="5" t="s">
        <v>345</v>
      </c>
      <c r="C805" s="5" t="s">
        <v>843</v>
      </c>
      <c r="D805" s="5" t="s">
        <v>12</v>
      </c>
      <c r="E805" s="5" t="s">
        <v>13</v>
      </c>
      <c r="F805" s="5" t="s">
        <v>16</v>
      </c>
      <c r="G805" s="6">
        <v>29400</v>
      </c>
      <c r="H805" s="798" t="str">
        <f>HYPERLINK("https://adv-map.ru/place/?LINK=e1342a6bf1b4d3eb21b6cfe4821b008f","Ссылка")</f>
        <v>Ссылка</v>
      </c>
      <c r="I805" s="5" t="s">
        <v>844</v>
      </c>
    </row>
    <row r="806" spans="1:9" s="4" customFormat="1" ht="38.1" customHeight="1" outlineLevel="1" x14ac:dyDescent="0.2">
      <c r="A806" s="5" t="s">
        <v>340</v>
      </c>
      <c r="B806" s="5" t="s">
        <v>134</v>
      </c>
      <c r="C806" s="5" t="s">
        <v>845</v>
      </c>
      <c r="D806" s="5" t="s">
        <v>347</v>
      </c>
      <c r="E806" s="5" t="s">
        <v>348</v>
      </c>
      <c r="F806" s="5" t="s">
        <v>14</v>
      </c>
      <c r="G806" s="6">
        <v>22680</v>
      </c>
      <c r="H806" s="799" t="str">
        <f>HYPERLINK("https://adv-map.ru/place/?LINK=382eb9631e64b22b70bbb11ab9f268b0","Ссылка")</f>
        <v>Ссылка</v>
      </c>
      <c r="I806" s="5" t="s">
        <v>846</v>
      </c>
    </row>
    <row r="807" spans="1:9" s="4" customFormat="1" ht="38.1" customHeight="1" outlineLevel="1" x14ac:dyDescent="0.2">
      <c r="A807" s="5" t="s">
        <v>340</v>
      </c>
      <c r="B807" s="5" t="s">
        <v>134</v>
      </c>
      <c r="C807" s="5" t="s">
        <v>845</v>
      </c>
      <c r="D807" s="5" t="s">
        <v>347</v>
      </c>
      <c r="E807" s="5" t="s">
        <v>348</v>
      </c>
      <c r="F807" s="5" t="s">
        <v>16</v>
      </c>
      <c r="G807" s="6">
        <v>17640</v>
      </c>
      <c r="H807" s="800" t="str">
        <f>HYPERLINK("https://adv-map.ru/place/?LINK=83f213c557dd3ae8e3c707eec0046452","Ссылка")</f>
        <v>Ссылка</v>
      </c>
      <c r="I807" s="5" t="s">
        <v>846</v>
      </c>
    </row>
    <row r="808" spans="1:9" s="4" customFormat="1" ht="38.1" customHeight="1" outlineLevel="1" x14ac:dyDescent="0.2">
      <c r="A808" s="5" t="s">
        <v>340</v>
      </c>
      <c r="B808" s="5" t="s">
        <v>345</v>
      </c>
      <c r="C808" s="5" t="s">
        <v>847</v>
      </c>
      <c r="D808" s="5" t="s">
        <v>347</v>
      </c>
      <c r="E808" s="5" t="s">
        <v>348</v>
      </c>
      <c r="F808" s="5" t="s">
        <v>14</v>
      </c>
      <c r="G808" s="6">
        <v>25200</v>
      </c>
      <c r="H808" s="801" t="str">
        <f>HYPERLINK("https://adv-map.ru/place/?LINK=42d77d7040f4e4d46ebe3a2599af4d08","Ссылка")</f>
        <v>Ссылка</v>
      </c>
      <c r="I808" s="5" t="s">
        <v>848</v>
      </c>
    </row>
    <row r="809" spans="1:9" s="4" customFormat="1" ht="38.1" customHeight="1" outlineLevel="1" x14ac:dyDescent="0.2">
      <c r="A809" s="5" t="s">
        <v>340</v>
      </c>
      <c r="B809" s="5" t="s">
        <v>345</v>
      </c>
      <c r="C809" s="5" t="s">
        <v>847</v>
      </c>
      <c r="D809" s="5" t="s">
        <v>347</v>
      </c>
      <c r="E809" s="5" t="s">
        <v>348</v>
      </c>
      <c r="F809" s="5" t="s">
        <v>16</v>
      </c>
      <c r="G809" s="6">
        <v>20160</v>
      </c>
      <c r="H809" s="802" t="str">
        <f>HYPERLINK("https://adv-map.ru/place/?LINK=e52242f3f3c49b61dff9a51a01427286","Ссылка")</f>
        <v>Ссылка</v>
      </c>
      <c r="I809" s="5" t="s">
        <v>848</v>
      </c>
    </row>
    <row r="810" spans="1:9" s="4" customFormat="1" ht="38.1" customHeight="1" outlineLevel="1" x14ac:dyDescent="0.2">
      <c r="A810" s="5" t="s">
        <v>340</v>
      </c>
      <c r="B810" s="5" t="s">
        <v>345</v>
      </c>
      <c r="C810" s="5" t="s">
        <v>849</v>
      </c>
      <c r="D810" s="5" t="s">
        <v>12</v>
      </c>
      <c r="E810" s="5" t="s">
        <v>13</v>
      </c>
      <c r="F810" s="5" t="s">
        <v>14</v>
      </c>
      <c r="G810" s="6">
        <v>33600</v>
      </c>
      <c r="H810" s="803" t="str">
        <f>HYPERLINK("https://adv-map.ru/place/?LINK=3e1e30323d098a026a40515d8674f6f7","Ссылка")</f>
        <v>Ссылка</v>
      </c>
      <c r="I810" s="5" t="s">
        <v>850</v>
      </c>
    </row>
    <row r="811" spans="1:9" s="4" customFormat="1" ht="38.1" customHeight="1" outlineLevel="1" x14ac:dyDescent="0.2">
      <c r="A811" s="5" t="s">
        <v>340</v>
      </c>
      <c r="B811" s="5" t="s">
        <v>345</v>
      </c>
      <c r="C811" s="5" t="s">
        <v>849</v>
      </c>
      <c r="D811" s="5" t="s">
        <v>12</v>
      </c>
      <c r="E811" s="5" t="s">
        <v>13</v>
      </c>
      <c r="F811" s="5" t="s">
        <v>16</v>
      </c>
      <c r="G811" s="6">
        <v>29400</v>
      </c>
      <c r="H811" s="804" t="str">
        <f>HYPERLINK("https://adv-map.ru/place/?LINK=a7cf13cdae53406078b722bffefdcdf8","Ссылка")</f>
        <v>Ссылка</v>
      </c>
      <c r="I811" s="5" t="s">
        <v>850</v>
      </c>
    </row>
    <row r="812" spans="1:9" s="4" customFormat="1" ht="38.1" customHeight="1" outlineLevel="1" x14ac:dyDescent="0.2">
      <c r="A812" s="5" t="s">
        <v>340</v>
      </c>
      <c r="B812" s="5" t="s">
        <v>851</v>
      </c>
      <c r="C812" s="5" t="s">
        <v>852</v>
      </c>
      <c r="D812" s="5" t="s">
        <v>351</v>
      </c>
      <c r="E812" s="5" t="s">
        <v>352</v>
      </c>
      <c r="F812" s="5" t="s">
        <v>14</v>
      </c>
      <c r="G812" s="6">
        <v>115500</v>
      </c>
      <c r="H812" s="805" t="str">
        <f>HYPERLINK("https://adv-map.ru/place/?LINK=bee5461e78e866e901d8f2f785d92269","Ссылка")</f>
        <v>Ссылка</v>
      </c>
      <c r="I812" s="5" t="s">
        <v>853</v>
      </c>
    </row>
    <row r="813" spans="1:9" s="4" customFormat="1" ht="38.1" customHeight="1" outlineLevel="1" x14ac:dyDescent="0.2">
      <c r="A813" s="5" t="s">
        <v>340</v>
      </c>
      <c r="B813" s="5" t="s">
        <v>851</v>
      </c>
      <c r="C813" s="5" t="s">
        <v>852</v>
      </c>
      <c r="D813" s="5" t="s">
        <v>351</v>
      </c>
      <c r="E813" s="5" t="s">
        <v>352</v>
      </c>
      <c r="F813" s="5" t="s">
        <v>16</v>
      </c>
      <c r="G813" s="6">
        <v>94500</v>
      </c>
      <c r="H813" s="806" t="str">
        <f>HYPERLINK("https://adv-map.ru/place/?LINK=00afc0668b6abf6514f61dfa2f337898","Ссылка")</f>
        <v>Ссылка</v>
      </c>
      <c r="I813" s="5" t="s">
        <v>853</v>
      </c>
    </row>
    <row r="814" spans="1:9" s="4" customFormat="1" ht="38.1" customHeight="1" outlineLevel="1" x14ac:dyDescent="0.2">
      <c r="A814" s="5" t="s">
        <v>340</v>
      </c>
      <c r="B814" s="5" t="s">
        <v>851</v>
      </c>
      <c r="C814" s="5" t="s">
        <v>854</v>
      </c>
      <c r="D814" s="5" t="s">
        <v>351</v>
      </c>
      <c r="E814" s="5" t="s">
        <v>352</v>
      </c>
      <c r="F814" s="5" t="s">
        <v>14</v>
      </c>
      <c r="G814" s="6">
        <v>115500</v>
      </c>
      <c r="H814" s="807" t="str">
        <f>HYPERLINK("https://adv-map.ru/place/?LINK=38451004cd1d5bb9dcc3614d0a2b87b7","Ссылка")</f>
        <v>Ссылка</v>
      </c>
      <c r="I814" s="5" t="s">
        <v>855</v>
      </c>
    </row>
    <row r="815" spans="1:9" s="4" customFormat="1" ht="38.1" customHeight="1" outlineLevel="1" x14ac:dyDescent="0.2">
      <c r="A815" s="5" t="s">
        <v>340</v>
      </c>
      <c r="B815" s="5" t="s">
        <v>851</v>
      </c>
      <c r="C815" s="5" t="s">
        <v>854</v>
      </c>
      <c r="D815" s="5" t="s">
        <v>351</v>
      </c>
      <c r="E815" s="5" t="s">
        <v>352</v>
      </c>
      <c r="F815" s="5" t="s">
        <v>16</v>
      </c>
      <c r="G815" s="6">
        <v>94500</v>
      </c>
      <c r="H815" s="808" t="str">
        <f>HYPERLINK("https://adv-map.ru/place/?LINK=9e7b95111af053545a87ebc0500b0a44","Ссылка")</f>
        <v>Ссылка</v>
      </c>
      <c r="I815" s="5" t="s">
        <v>855</v>
      </c>
    </row>
    <row r="816" spans="1:9" s="4" customFormat="1" ht="38.1" customHeight="1" outlineLevel="1" x14ac:dyDescent="0.2">
      <c r="A816" s="5" t="s">
        <v>340</v>
      </c>
      <c r="B816" s="5" t="s">
        <v>354</v>
      </c>
      <c r="C816" s="5" t="s">
        <v>856</v>
      </c>
      <c r="D816" s="5" t="s">
        <v>12</v>
      </c>
      <c r="E816" s="5" t="s">
        <v>13</v>
      </c>
      <c r="F816" s="5" t="s">
        <v>14</v>
      </c>
      <c r="G816" s="6">
        <v>42000</v>
      </c>
      <c r="H816" s="809" t="str">
        <f>HYPERLINK("https://adv-map.ru/place/?LINK=6c0b6a24570d92009ee0f9b45c42cbef","Ссылка")</f>
        <v>Ссылка</v>
      </c>
      <c r="I816" s="5" t="s">
        <v>857</v>
      </c>
    </row>
    <row r="817" spans="1:9" s="4" customFormat="1" ht="38.1" customHeight="1" outlineLevel="1" x14ac:dyDescent="0.2">
      <c r="A817" s="5" t="s">
        <v>340</v>
      </c>
      <c r="B817" s="5" t="s">
        <v>354</v>
      </c>
      <c r="C817" s="5" t="s">
        <v>856</v>
      </c>
      <c r="D817" s="5" t="s">
        <v>12</v>
      </c>
      <c r="E817" s="5" t="s">
        <v>13</v>
      </c>
      <c r="F817" s="5" t="s">
        <v>16</v>
      </c>
      <c r="G817" s="6">
        <v>29400</v>
      </c>
      <c r="H817" s="810" t="str">
        <f>HYPERLINK("https://adv-map.ru/place/?LINK=6917073e2acb27f7aae47c0a71b5cdfe","Ссылка")</f>
        <v>Ссылка</v>
      </c>
      <c r="I817" s="5" t="s">
        <v>857</v>
      </c>
    </row>
    <row r="818" spans="1:9" s="4" customFormat="1" ht="38.1" customHeight="1" outlineLevel="1" x14ac:dyDescent="0.2">
      <c r="A818" s="5" t="s">
        <v>340</v>
      </c>
      <c r="B818" s="5" t="s">
        <v>354</v>
      </c>
      <c r="C818" s="5" t="s">
        <v>858</v>
      </c>
      <c r="D818" s="5" t="s">
        <v>396</v>
      </c>
      <c r="E818" s="5" t="s">
        <v>397</v>
      </c>
      <c r="F818" s="5" t="s">
        <v>14</v>
      </c>
      <c r="G818" s="6">
        <v>31500</v>
      </c>
      <c r="H818" s="811" t="str">
        <f>HYPERLINK("https://adv-map.ru/place/?LINK=3acf18395c8e624b7ccd0fd779a9dd5f","Ссылка")</f>
        <v>Ссылка</v>
      </c>
      <c r="I818" s="5" t="s">
        <v>859</v>
      </c>
    </row>
    <row r="819" spans="1:9" s="4" customFormat="1" ht="38.1" customHeight="1" outlineLevel="1" x14ac:dyDescent="0.2">
      <c r="A819" s="5" t="s">
        <v>340</v>
      </c>
      <c r="B819" s="5" t="s">
        <v>354</v>
      </c>
      <c r="C819" s="5" t="s">
        <v>858</v>
      </c>
      <c r="D819" s="5" t="s">
        <v>396</v>
      </c>
      <c r="E819" s="5" t="s">
        <v>397</v>
      </c>
      <c r="F819" s="5" t="s">
        <v>16</v>
      </c>
      <c r="G819" s="6">
        <v>25200</v>
      </c>
      <c r="H819" s="812" t="str">
        <f>HYPERLINK("https://adv-map.ru/place/?LINK=b1ac4bc884f78bdab3a83c4ce02d4b51","Ссылка")</f>
        <v>Ссылка</v>
      </c>
      <c r="I819" s="5" t="s">
        <v>859</v>
      </c>
    </row>
    <row r="820" spans="1:9" s="4" customFormat="1" ht="38.1" customHeight="1" outlineLevel="1" x14ac:dyDescent="0.2">
      <c r="A820" s="5" t="s">
        <v>340</v>
      </c>
      <c r="B820" s="5" t="s">
        <v>354</v>
      </c>
      <c r="C820" s="5" t="s">
        <v>860</v>
      </c>
      <c r="D820" s="5" t="s">
        <v>347</v>
      </c>
      <c r="E820" s="5" t="s">
        <v>348</v>
      </c>
      <c r="F820" s="5" t="s">
        <v>14</v>
      </c>
      <c r="G820" s="6">
        <v>20160</v>
      </c>
      <c r="H820" s="813" t="str">
        <f>HYPERLINK("https://adv-map.ru/place/?LINK=eef9505b6bf6585f277c48b79cf1ed27","Ссылка")</f>
        <v>Ссылка</v>
      </c>
      <c r="I820" s="5" t="s">
        <v>861</v>
      </c>
    </row>
    <row r="821" spans="1:9" s="4" customFormat="1" ht="38.1" customHeight="1" outlineLevel="1" x14ac:dyDescent="0.2">
      <c r="A821" s="5" t="s">
        <v>340</v>
      </c>
      <c r="B821" s="5" t="s">
        <v>354</v>
      </c>
      <c r="C821" s="5" t="s">
        <v>860</v>
      </c>
      <c r="D821" s="5" t="s">
        <v>347</v>
      </c>
      <c r="E821" s="5" t="s">
        <v>348</v>
      </c>
      <c r="F821" s="5" t="s">
        <v>16</v>
      </c>
      <c r="G821" s="6">
        <v>15120</v>
      </c>
      <c r="H821" s="814" t="str">
        <f>HYPERLINK("https://adv-map.ru/place/?LINK=2101456a080b7c1b3c91807ff6fd6c12","Ссылка")</f>
        <v>Ссылка</v>
      </c>
      <c r="I821" s="5" t="s">
        <v>862</v>
      </c>
    </row>
    <row r="822" spans="1:9" s="4" customFormat="1" ht="38.1" customHeight="1" outlineLevel="1" x14ac:dyDescent="0.2">
      <c r="A822" s="5" t="s">
        <v>340</v>
      </c>
      <c r="B822" s="5" t="s">
        <v>354</v>
      </c>
      <c r="C822" s="5" t="s">
        <v>863</v>
      </c>
      <c r="D822" s="5" t="s">
        <v>12</v>
      </c>
      <c r="E822" s="5" t="s">
        <v>13</v>
      </c>
      <c r="F822" s="5" t="s">
        <v>14</v>
      </c>
      <c r="G822" s="6">
        <v>33600</v>
      </c>
      <c r="H822" s="815" t="str">
        <f>HYPERLINK("https://adv-map.ru/place/?LINK=b4dfd698feea7567d7b5082f8e2472a4","Ссылка")</f>
        <v>Ссылка</v>
      </c>
      <c r="I822" s="5" t="s">
        <v>864</v>
      </c>
    </row>
    <row r="823" spans="1:9" s="4" customFormat="1" ht="38.1" customHeight="1" outlineLevel="1" x14ac:dyDescent="0.2">
      <c r="A823" s="5" t="s">
        <v>340</v>
      </c>
      <c r="B823" s="5" t="s">
        <v>354</v>
      </c>
      <c r="C823" s="5" t="s">
        <v>863</v>
      </c>
      <c r="D823" s="5" t="s">
        <v>12</v>
      </c>
      <c r="E823" s="5" t="s">
        <v>13</v>
      </c>
      <c r="F823" s="5" t="s">
        <v>16</v>
      </c>
      <c r="G823" s="6">
        <v>29400</v>
      </c>
      <c r="H823" s="816" t="str">
        <f>HYPERLINK("https://adv-map.ru/place/?LINK=778ecebc60addcacb6b90416ca06f4ed","Ссылка")</f>
        <v>Ссылка</v>
      </c>
      <c r="I823" s="5" t="s">
        <v>864</v>
      </c>
    </row>
    <row r="824" spans="1:9" s="4" customFormat="1" ht="38.1" customHeight="1" outlineLevel="1" x14ac:dyDescent="0.2">
      <c r="A824" s="5" t="s">
        <v>340</v>
      </c>
      <c r="B824" s="5" t="s">
        <v>354</v>
      </c>
      <c r="C824" s="5" t="s">
        <v>865</v>
      </c>
      <c r="D824" s="5" t="s">
        <v>12</v>
      </c>
      <c r="E824" s="5" t="s">
        <v>13</v>
      </c>
      <c r="F824" s="5" t="s">
        <v>14</v>
      </c>
      <c r="G824" s="6">
        <v>25200</v>
      </c>
      <c r="H824" s="817" t="str">
        <f>HYPERLINK("https://adv-map.ru/place/?LINK=8a44eb87a0ba0b6aa2cea9c6951f63a6","Ссылка")</f>
        <v>Ссылка</v>
      </c>
      <c r="I824" s="5" t="s">
        <v>866</v>
      </c>
    </row>
    <row r="825" spans="1:9" s="4" customFormat="1" ht="38.1" customHeight="1" outlineLevel="1" x14ac:dyDescent="0.2">
      <c r="A825" s="5" t="s">
        <v>340</v>
      </c>
      <c r="B825" s="5" t="s">
        <v>354</v>
      </c>
      <c r="C825" s="5" t="s">
        <v>865</v>
      </c>
      <c r="D825" s="5" t="s">
        <v>12</v>
      </c>
      <c r="E825" s="5" t="s">
        <v>13</v>
      </c>
      <c r="F825" s="5" t="s">
        <v>16</v>
      </c>
      <c r="G825" s="6">
        <v>18900</v>
      </c>
      <c r="H825" s="818" t="str">
        <f>HYPERLINK("https://adv-map.ru/place/?LINK=51260a4f243ed1ca8cbd88a4b79a47e2","Ссылка")</f>
        <v>Ссылка</v>
      </c>
      <c r="I825" s="5" t="s">
        <v>866</v>
      </c>
    </row>
    <row r="826" spans="1:9" s="4" customFormat="1" ht="38.1" customHeight="1" outlineLevel="1" x14ac:dyDescent="0.2">
      <c r="A826" s="5" t="s">
        <v>340</v>
      </c>
      <c r="B826" s="5" t="s">
        <v>354</v>
      </c>
      <c r="C826" s="5" t="s">
        <v>867</v>
      </c>
      <c r="D826" s="5" t="s">
        <v>12</v>
      </c>
      <c r="E826" s="5" t="s">
        <v>13</v>
      </c>
      <c r="F826" s="5" t="s">
        <v>16</v>
      </c>
      <c r="G826" s="6">
        <v>23100</v>
      </c>
      <c r="H826" s="819" t="str">
        <f>HYPERLINK("https://adv-map.ru/place/?LINK=1c33d8f9373e57c9a0d299b2c563580c","Ссылка")</f>
        <v>Ссылка</v>
      </c>
      <c r="I826" s="5" t="s">
        <v>868</v>
      </c>
    </row>
    <row r="827" spans="1:9" s="4" customFormat="1" ht="38.1" customHeight="1" outlineLevel="1" x14ac:dyDescent="0.2">
      <c r="A827" s="5" t="s">
        <v>340</v>
      </c>
      <c r="B827" s="5" t="s">
        <v>354</v>
      </c>
      <c r="C827" s="5" t="s">
        <v>869</v>
      </c>
      <c r="D827" s="5" t="s">
        <v>12</v>
      </c>
      <c r="E827" s="5" t="s">
        <v>13</v>
      </c>
      <c r="F827" s="5" t="s">
        <v>14</v>
      </c>
      <c r="G827" s="6">
        <v>29400</v>
      </c>
      <c r="H827" s="820" t="str">
        <f>HYPERLINK("https://adv-map.ru/place/?LINK=395b058cff2597d9ec1dbfeef89d571e","Ссылка")</f>
        <v>Ссылка</v>
      </c>
      <c r="I827" s="5" t="s">
        <v>868</v>
      </c>
    </row>
    <row r="828" spans="1:9" s="4" customFormat="1" ht="38.1" customHeight="1" outlineLevel="1" x14ac:dyDescent="0.2">
      <c r="A828" s="5" t="s">
        <v>340</v>
      </c>
      <c r="B828" s="5" t="s">
        <v>354</v>
      </c>
      <c r="C828" s="5" t="s">
        <v>870</v>
      </c>
      <c r="D828" s="5" t="s">
        <v>12</v>
      </c>
      <c r="E828" s="5" t="s">
        <v>13</v>
      </c>
      <c r="F828" s="5" t="s">
        <v>16</v>
      </c>
      <c r="G828" s="6">
        <v>23100</v>
      </c>
      <c r="H828" s="821" t="str">
        <f>HYPERLINK("https://adv-map.ru/place/?LINK=b36d7475eab7c630fb634fd620d8eec8","Ссылка")</f>
        <v>Ссылка</v>
      </c>
      <c r="I828" s="5" t="s">
        <v>871</v>
      </c>
    </row>
    <row r="829" spans="1:9" s="4" customFormat="1" ht="38.1" customHeight="1" outlineLevel="1" x14ac:dyDescent="0.2">
      <c r="A829" s="5" t="s">
        <v>340</v>
      </c>
      <c r="B829" s="5" t="s">
        <v>354</v>
      </c>
      <c r="C829" s="5" t="s">
        <v>872</v>
      </c>
      <c r="D829" s="5" t="s">
        <v>12</v>
      </c>
      <c r="E829" s="5" t="s">
        <v>13</v>
      </c>
      <c r="F829" s="5" t="s">
        <v>14</v>
      </c>
      <c r="G829" s="6">
        <v>29400</v>
      </c>
      <c r="H829" s="822" t="str">
        <f>HYPERLINK("https://adv-map.ru/place/?LINK=d88418447df2e66438e43d04adcc7328","Ссылка")</f>
        <v>Ссылка</v>
      </c>
      <c r="I829" s="5" t="s">
        <v>871</v>
      </c>
    </row>
    <row r="830" spans="1:9" s="4" customFormat="1" ht="38.1" customHeight="1" outlineLevel="1" x14ac:dyDescent="0.2">
      <c r="A830" s="5" t="s">
        <v>340</v>
      </c>
      <c r="B830" s="5" t="s">
        <v>354</v>
      </c>
      <c r="C830" s="5" t="s">
        <v>873</v>
      </c>
      <c r="D830" s="5" t="s">
        <v>12</v>
      </c>
      <c r="E830" s="5" t="s">
        <v>13</v>
      </c>
      <c r="F830" s="5" t="s">
        <v>16</v>
      </c>
      <c r="G830" s="6">
        <v>23100</v>
      </c>
      <c r="H830" s="823" t="str">
        <f>HYPERLINK("https://adv-map.ru/place/?LINK=96ba3313e7f341b333814588d02cfcf0","Ссылка")</f>
        <v>Ссылка</v>
      </c>
      <c r="I830" s="5" t="s">
        <v>874</v>
      </c>
    </row>
    <row r="831" spans="1:9" s="4" customFormat="1" ht="38.1" customHeight="1" outlineLevel="1" x14ac:dyDescent="0.2">
      <c r="A831" s="5" t="s">
        <v>340</v>
      </c>
      <c r="B831" s="5" t="s">
        <v>354</v>
      </c>
      <c r="C831" s="5" t="s">
        <v>875</v>
      </c>
      <c r="D831" s="5" t="s">
        <v>12</v>
      </c>
      <c r="E831" s="5" t="s">
        <v>13</v>
      </c>
      <c r="F831" s="5" t="s">
        <v>14</v>
      </c>
      <c r="G831" s="6">
        <v>29400</v>
      </c>
      <c r="H831" s="824" t="str">
        <f>HYPERLINK("https://adv-map.ru/place/?LINK=21b508183cf3a95db9e479af1e82d8df","Ссылка")</f>
        <v>Ссылка</v>
      </c>
      <c r="I831" s="5" t="s">
        <v>874</v>
      </c>
    </row>
    <row r="832" spans="1:9" s="4" customFormat="1" ht="38.1" customHeight="1" outlineLevel="1" x14ac:dyDescent="0.2">
      <c r="A832" s="5" t="s">
        <v>340</v>
      </c>
      <c r="B832" s="5" t="s">
        <v>354</v>
      </c>
      <c r="C832" s="5" t="s">
        <v>876</v>
      </c>
      <c r="D832" s="5" t="s">
        <v>12</v>
      </c>
      <c r="E832" s="5" t="s">
        <v>13</v>
      </c>
      <c r="F832" s="5" t="s">
        <v>14</v>
      </c>
      <c r="G832" s="6">
        <v>28000</v>
      </c>
      <c r="H832" s="825" t="str">
        <f>HYPERLINK("https://adv-map.ru/place/?LINK=2aac1e6c63cb9cafd0bc4d1be30475fd","Ссылка")</f>
        <v>Ссылка</v>
      </c>
      <c r="I832" s="5" t="s">
        <v>877</v>
      </c>
    </row>
    <row r="833" spans="1:9" s="4" customFormat="1" ht="38.1" customHeight="1" outlineLevel="1" x14ac:dyDescent="0.2">
      <c r="A833" s="5" t="s">
        <v>340</v>
      </c>
      <c r="B833" s="5" t="s">
        <v>354</v>
      </c>
      <c r="C833" s="5" t="s">
        <v>876</v>
      </c>
      <c r="D833" s="5" t="s">
        <v>12</v>
      </c>
      <c r="E833" s="5" t="s">
        <v>13</v>
      </c>
      <c r="F833" s="5" t="s">
        <v>16</v>
      </c>
      <c r="G833" s="6">
        <v>20000</v>
      </c>
      <c r="H833" s="826" t="str">
        <f>HYPERLINK("https://adv-map.ru/place/?LINK=a2246c84ccaeeec32b7da0fd51b4300a","Ссылка")</f>
        <v>Ссылка</v>
      </c>
      <c r="I833" s="5" t="s">
        <v>878</v>
      </c>
    </row>
    <row r="834" spans="1:9" s="4" customFormat="1" ht="38.1" customHeight="1" outlineLevel="1" x14ac:dyDescent="0.2">
      <c r="A834" s="5" t="s">
        <v>340</v>
      </c>
      <c r="B834" s="5" t="s">
        <v>354</v>
      </c>
      <c r="C834" s="5" t="s">
        <v>879</v>
      </c>
      <c r="D834" s="5" t="s">
        <v>12</v>
      </c>
      <c r="E834" s="5" t="s">
        <v>13</v>
      </c>
      <c r="F834" s="5" t="s">
        <v>14</v>
      </c>
      <c r="G834" s="6">
        <v>31500</v>
      </c>
      <c r="H834" s="827" t="str">
        <f>HYPERLINK("https://adv-map.ru/place/?LINK=33d6f24b69a5c4966c3e49c6ccaa648b","Ссылка")</f>
        <v>Ссылка</v>
      </c>
      <c r="I834" s="5" t="s">
        <v>880</v>
      </c>
    </row>
    <row r="835" spans="1:9" s="4" customFormat="1" ht="38.1" customHeight="1" outlineLevel="1" x14ac:dyDescent="0.2">
      <c r="A835" s="5" t="s">
        <v>340</v>
      </c>
      <c r="B835" s="5" t="s">
        <v>354</v>
      </c>
      <c r="C835" s="5" t="s">
        <v>881</v>
      </c>
      <c r="D835" s="5" t="s">
        <v>12</v>
      </c>
      <c r="E835" s="5" t="s">
        <v>13</v>
      </c>
      <c r="F835" s="5" t="s">
        <v>16</v>
      </c>
      <c r="G835" s="6">
        <v>25200</v>
      </c>
      <c r="H835" s="828" t="str">
        <f>HYPERLINK("https://adv-map.ru/place/?LINK=3237e652fdfd69ad13c722cce6e68f0e","Ссылка")</f>
        <v>Ссылка</v>
      </c>
      <c r="I835" s="5" t="s">
        <v>880</v>
      </c>
    </row>
    <row r="836" spans="1:9" s="4" customFormat="1" ht="38.1" customHeight="1" outlineLevel="1" x14ac:dyDescent="0.2">
      <c r="A836" s="5" t="s">
        <v>340</v>
      </c>
      <c r="B836" s="5" t="s">
        <v>354</v>
      </c>
      <c r="C836" s="5" t="s">
        <v>882</v>
      </c>
      <c r="D836" s="5" t="s">
        <v>12</v>
      </c>
      <c r="E836" s="5" t="s">
        <v>13</v>
      </c>
      <c r="F836" s="5" t="s">
        <v>16</v>
      </c>
      <c r="G836" s="6">
        <v>23100</v>
      </c>
      <c r="H836" s="829" t="str">
        <f>HYPERLINK("https://adv-map.ru/place/?LINK=d39d711145fc6827079b75bedbbee1ea","Ссылка")</f>
        <v>Ссылка</v>
      </c>
      <c r="I836" s="5" t="s">
        <v>883</v>
      </c>
    </row>
    <row r="837" spans="1:9" s="4" customFormat="1" ht="38.1" customHeight="1" outlineLevel="1" x14ac:dyDescent="0.2">
      <c r="A837" s="5" t="s">
        <v>340</v>
      </c>
      <c r="B837" s="5" t="s">
        <v>354</v>
      </c>
      <c r="C837" s="5" t="s">
        <v>884</v>
      </c>
      <c r="D837" s="5" t="s">
        <v>12</v>
      </c>
      <c r="E837" s="5" t="s">
        <v>13</v>
      </c>
      <c r="F837" s="5" t="s">
        <v>14</v>
      </c>
      <c r="G837" s="6">
        <v>29400</v>
      </c>
      <c r="H837" s="830" t="str">
        <f>HYPERLINK("https://adv-map.ru/place/?LINK=4a74ba39412d9e4ed1f45137edc59cdd","Ссылка")</f>
        <v>Ссылка</v>
      </c>
      <c r="I837" s="5" t="s">
        <v>883</v>
      </c>
    </row>
    <row r="838" spans="1:9" s="4" customFormat="1" ht="38.1" customHeight="1" outlineLevel="1" x14ac:dyDescent="0.2">
      <c r="A838" s="5" t="s">
        <v>340</v>
      </c>
      <c r="B838" s="5" t="s">
        <v>354</v>
      </c>
      <c r="C838" s="5" t="s">
        <v>885</v>
      </c>
      <c r="D838" s="5" t="s">
        <v>12</v>
      </c>
      <c r="E838" s="5" t="s">
        <v>13</v>
      </c>
      <c r="F838" s="5" t="s">
        <v>16</v>
      </c>
      <c r="G838" s="6">
        <v>23100</v>
      </c>
      <c r="H838" s="831" t="str">
        <f>HYPERLINK("https://adv-map.ru/place/?LINK=725a204b5d7c62a93a4f295f81b69762","Ссылка")</f>
        <v>Ссылка</v>
      </c>
      <c r="I838" s="5" t="s">
        <v>886</v>
      </c>
    </row>
    <row r="839" spans="1:9" s="4" customFormat="1" ht="38.1" customHeight="1" outlineLevel="1" x14ac:dyDescent="0.2">
      <c r="A839" s="5" t="s">
        <v>340</v>
      </c>
      <c r="B839" s="5" t="s">
        <v>354</v>
      </c>
      <c r="C839" s="5" t="s">
        <v>887</v>
      </c>
      <c r="D839" s="5" t="s">
        <v>12</v>
      </c>
      <c r="E839" s="5" t="s">
        <v>13</v>
      </c>
      <c r="F839" s="5" t="s">
        <v>14</v>
      </c>
      <c r="G839" s="6">
        <v>29400</v>
      </c>
      <c r="H839" s="832" t="str">
        <f>HYPERLINK("https://adv-map.ru/place/?LINK=c1f305106c2badd1f3442968e4b0d357","Ссылка")</f>
        <v>Ссылка</v>
      </c>
      <c r="I839" s="5" t="s">
        <v>886</v>
      </c>
    </row>
    <row r="840" spans="1:9" s="4" customFormat="1" ht="38.1" customHeight="1" outlineLevel="1" x14ac:dyDescent="0.2">
      <c r="A840" s="5" t="s">
        <v>340</v>
      </c>
      <c r="B840" s="5" t="s">
        <v>354</v>
      </c>
      <c r="C840" s="5" t="s">
        <v>888</v>
      </c>
      <c r="D840" s="5" t="s">
        <v>12</v>
      </c>
      <c r="E840" s="5" t="s">
        <v>13</v>
      </c>
      <c r="F840" s="5" t="s">
        <v>14</v>
      </c>
      <c r="G840" s="6">
        <v>29400</v>
      </c>
      <c r="H840" s="833" t="str">
        <f>HYPERLINK("https://adv-map.ru/place/?LINK=bbc0661c8bf6b2bb9922308673d2f76e","Ссылка")</f>
        <v>Ссылка</v>
      </c>
      <c r="I840" s="5" t="s">
        <v>889</v>
      </c>
    </row>
    <row r="841" spans="1:9" s="4" customFormat="1" ht="38.1" customHeight="1" outlineLevel="1" x14ac:dyDescent="0.2">
      <c r="A841" s="5" t="s">
        <v>340</v>
      </c>
      <c r="B841" s="5" t="s">
        <v>354</v>
      </c>
      <c r="C841" s="5" t="s">
        <v>890</v>
      </c>
      <c r="D841" s="5" t="s">
        <v>12</v>
      </c>
      <c r="E841" s="5" t="s">
        <v>13</v>
      </c>
      <c r="F841" s="5" t="s">
        <v>16</v>
      </c>
      <c r="G841" s="6">
        <v>23100</v>
      </c>
      <c r="H841" s="834" t="str">
        <f>HYPERLINK("https://adv-map.ru/place/?LINK=7ef584cd064e19b8b4e5c2431f0a3ad2","Ссылка")</f>
        <v>Ссылка</v>
      </c>
      <c r="I841" s="5" t="s">
        <v>889</v>
      </c>
    </row>
    <row r="842" spans="1:9" s="4" customFormat="1" ht="38.1" customHeight="1" outlineLevel="1" x14ac:dyDescent="0.2">
      <c r="A842" s="5" t="s">
        <v>340</v>
      </c>
      <c r="B842" s="5" t="s">
        <v>354</v>
      </c>
      <c r="C842" s="5" t="s">
        <v>891</v>
      </c>
      <c r="D842" s="5" t="s">
        <v>12</v>
      </c>
      <c r="E842" s="5" t="s">
        <v>13</v>
      </c>
      <c r="F842" s="5" t="s">
        <v>14</v>
      </c>
      <c r="G842" s="6">
        <v>29400</v>
      </c>
      <c r="H842" s="835" t="str">
        <f>HYPERLINK("https://adv-map.ru/place/?LINK=e7bffa43991d17638dc39c74af86d415","Ссылка")</f>
        <v>Ссылка</v>
      </c>
      <c r="I842" s="5" t="s">
        <v>892</v>
      </c>
    </row>
    <row r="843" spans="1:9" s="4" customFormat="1" ht="38.1" customHeight="1" outlineLevel="1" x14ac:dyDescent="0.2">
      <c r="A843" s="5" t="s">
        <v>340</v>
      </c>
      <c r="B843" s="5" t="s">
        <v>354</v>
      </c>
      <c r="C843" s="5" t="s">
        <v>893</v>
      </c>
      <c r="D843" s="5" t="s">
        <v>12</v>
      </c>
      <c r="E843" s="5" t="s">
        <v>13</v>
      </c>
      <c r="F843" s="5" t="s">
        <v>16</v>
      </c>
      <c r="G843" s="6">
        <v>21000</v>
      </c>
      <c r="H843" s="836" t="str">
        <f>HYPERLINK("https://adv-map.ru/place/?LINK=259fb075275ba9edfd94b59416a8ec94","Ссылка")</f>
        <v>Ссылка</v>
      </c>
      <c r="I843" s="5" t="s">
        <v>892</v>
      </c>
    </row>
    <row r="844" spans="1:9" s="4" customFormat="1" ht="38.1" customHeight="1" outlineLevel="1" x14ac:dyDescent="0.2">
      <c r="A844" s="5" t="s">
        <v>340</v>
      </c>
      <c r="B844" s="5" t="s">
        <v>354</v>
      </c>
      <c r="C844" s="5" t="s">
        <v>894</v>
      </c>
      <c r="D844" s="5" t="s">
        <v>12</v>
      </c>
      <c r="E844" s="5" t="s">
        <v>13</v>
      </c>
      <c r="F844" s="5" t="s">
        <v>16</v>
      </c>
      <c r="G844" s="6">
        <v>21000</v>
      </c>
      <c r="H844" s="837" t="str">
        <f>HYPERLINK("https://adv-map.ru/place/?LINK=8fddb11d4a514613566bb7b204817ecf","Ссылка")</f>
        <v>Ссылка</v>
      </c>
      <c r="I844" s="5" t="s">
        <v>895</v>
      </c>
    </row>
    <row r="845" spans="1:9" s="4" customFormat="1" ht="38.1" customHeight="1" outlineLevel="1" x14ac:dyDescent="0.2">
      <c r="A845" s="5" t="s">
        <v>340</v>
      </c>
      <c r="B845" s="5" t="s">
        <v>354</v>
      </c>
      <c r="C845" s="5" t="s">
        <v>896</v>
      </c>
      <c r="D845" s="5" t="s">
        <v>12</v>
      </c>
      <c r="E845" s="5" t="s">
        <v>13</v>
      </c>
      <c r="F845" s="5" t="s">
        <v>14</v>
      </c>
      <c r="G845" s="6">
        <v>29400</v>
      </c>
      <c r="H845" s="838" t="str">
        <f>HYPERLINK("https://adv-map.ru/place/?LINK=02fcb43b5eff1b8d8091755596168be5","Ссылка")</f>
        <v>Ссылка</v>
      </c>
      <c r="I845" s="5" t="s">
        <v>895</v>
      </c>
    </row>
    <row r="846" spans="1:9" s="4" customFormat="1" ht="38.1" customHeight="1" outlineLevel="1" x14ac:dyDescent="0.2">
      <c r="A846" s="5" t="s">
        <v>340</v>
      </c>
      <c r="B846" s="5" t="s">
        <v>354</v>
      </c>
      <c r="C846" s="5" t="s">
        <v>897</v>
      </c>
      <c r="D846" s="5" t="s">
        <v>12</v>
      </c>
      <c r="E846" s="5" t="s">
        <v>13</v>
      </c>
      <c r="F846" s="5" t="s">
        <v>14</v>
      </c>
      <c r="G846" s="6">
        <v>29400</v>
      </c>
      <c r="H846" s="839" t="str">
        <f>HYPERLINK("https://adv-map.ru/place/?LINK=f1d8c52199ce3864a6ebc66a35541c74","Ссылка")</f>
        <v>Ссылка</v>
      </c>
      <c r="I846" s="5" t="s">
        <v>898</v>
      </c>
    </row>
    <row r="847" spans="1:9" s="4" customFormat="1" ht="38.1" customHeight="1" outlineLevel="1" x14ac:dyDescent="0.2">
      <c r="A847" s="5" t="s">
        <v>340</v>
      </c>
      <c r="B847" s="5" t="s">
        <v>354</v>
      </c>
      <c r="C847" s="5" t="s">
        <v>899</v>
      </c>
      <c r="D847" s="5" t="s">
        <v>12</v>
      </c>
      <c r="E847" s="5" t="s">
        <v>13</v>
      </c>
      <c r="F847" s="5" t="s">
        <v>16</v>
      </c>
      <c r="G847" s="6">
        <v>21000</v>
      </c>
      <c r="H847" s="840" t="str">
        <f>HYPERLINK("https://adv-map.ru/place/?LINK=4c72dc84ef7a7ce05e854b90a8cb5e80","Ссылка")</f>
        <v>Ссылка</v>
      </c>
      <c r="I847" s="5" t="s">
        <v>898</v>
      </c>
    </row>
    <row r="848" spans="1:9" s="4" customFormat="1" ht="38.1" customHeight="1" outlineLevel="1" x14ac:dyDescent="0.2">
      <c r="A848" s="5" t="s">
        <v>340</v>
      </c>
      <c r="B848" s="5" t="s">
        <v>354</v>
      </c>
      <c r="C848" s="5" t="s">
        <v>900</v>
      </c>
      <c r="D848" s="5" t="s">
        <v>12</v>
      </c>
      <c r="E848" s="5" t="s">
        <v>13</v>
      </c>
      <c r="F848" s="5" t="s">
        <v>14</v>
      </c>
      <c r="G848" s="6">
        <v>29400</v>
      </c>
      <c r="H848" s="841" t="str">
        <f>HYPERLINK("https://adv-map.ru/place/?LINK=3e17c2134d5f0c9469f70508ea781fde","Ссылка")</f>
        <v>Ссылка</v>
      </c>
      <c r="I848" s="5" t="s">
        <v>901</v>
      </c>
    </row>
    <row r="849" spans="1:9" s="4" customFormat="1" ht="38.1" customHeight="1" outlineLevel="1" x14ac:dyDescent="0.2">
      <c r="A849" s="5" t="s">
        <v>340</v>
      </c>
      <c r="B849" s="5" t="s">
        <v>354</v>
      </c>
      <c r="C849" s="5" t="s">
        <v>902</v>
      </c>
      <c r="D849" s="5" t="s">
        <v>12</v>
      </c>
      <c r="E849" s="5" t="s">
        <v>13</v>
      </c>
      <c r="F849" s="5" t="s">
        <v>16</v>
      </c>
      <c r="G849" s="6">
        <v>21000</v>
      </c>
      <c r="H849" s="842" t="str">
        <f>HYPERLINK("https://adv-map.ru/place/?LINK=909373c190d56fb4a0fcf1e10e099b95","Ссылка")</f>
        <v>Ссылка</v>
      </c>
      <c r="I849" s="5" t="s">
        <v>901</v>
      </c>
    </row>
    <row r="850" spans="1:9" s="4" customFormat="1" ht="38.1" customHeight="1" outlineLevel="1" x14ac:dyDescent="0.2">
      <c r="A850" s="5" t="s">
        <v>340</v>
      </c>
      <c r="B850" s="5" t="s">
        <v>354</v>
      </c>
      <c r="C850" s="5" t="s">
        <v>903</v>
      </c>
      <c r="D850" s="5" t="s">
        <v>12</v>
      </c>
      <c r="E850" s="5" t="s">
        <v>13</v>
      </c>
      <c r="F850" s="5" t="s">
        <v>16</v>
      </c>
      <c r="G850" s="6">
        <v>21000</v>
      </c>
      <c r="H850" s="843" t="str">
        <f>HYPERLINK("https://adv-map.ru/place/?LINK=4f0eae45304d3a60721a8710c6fcdab4","Ссылка")</f>
        <v>Ссылка</v>
      </c>
      <c r="I850" s="5" t="s">
        <v>904</v>
      </c>
    </row>
    <row r="851" spans="1:9" s="4" customFormat="1" ht="38.1" customHeight="1" outlineLevel="1" x14ac:dyDescent="0.2">
      <c r="A851" s="5" t="s">
        <v>340</v>
      </c>
      <c r="B851" s="5" t="s">
        <v>354</v>
      </c>
      <c r="C851" s="5" t="s">
        <v>905</v>
      </c>
      <c r="D851" s="5" t="s">
        <v>12</v>
      </c>
      <c r="E851" s="5" t="s">
        <v>13</v>
      </c>
      <c r="F851" s="5" t="s">
        <v>14</v>
      </c>
      <c r="G851" s="6">
        <v>29400</v>
      </c>
      <c r="H851" s="844" t="str">
        <f>HYPERLINK("https://adv-map.ru/place/?LINK=a07fae0a0c76fcb435260ac7fee3e6d0","Ссылка")</f>
        <v>Ссылка</v>
      </c>
      <c r="I851" s="5" t="s">
        <v>904</v>
      </c>
    </row>
    <row r="852" spans="1:9" s="4" customFormat="1" ht="38.1" customHeight="1" outlineLevel="1" x14ac:dyDescent="0.2">
      <c r="A852" s="5" t="s">
        <v>340</v>
      </c>
      <c r="B852" s="5" t="s">
        <v>354</v>
      </c>
      <c r="C852" s="5" t="s">
        <v>906</v>
      </c>
      <c r="D852" s="5" t="s">
        <v>12</v>
      </c>
      <c r="E852" s="5" t="s">
        <v>13</v>
      </c>
      <c r="F852" s="5" t="s">
        <v>16</v>
      </c>
      <c r="G852" s="6">
        <v>21000</v>
      </c>
      <c r="H852" s="845" t="str">
        <f>HYPERLINK("https://adv-map.ru/place/?LINK=73b8c74e8708dc3ea9348bc951c29d0e","Ссылка")</f>
        <v>Ссылка</v>
      </c>
      <c r="I852" s="5" t="s">
        <v>907</v>
      </c>
    </row>
    <row r="853" spans="1:9" s="4" customFormat="1" ht="38.1" customHeight="1" outlineLevel="1" x14ac:dyDescent="0.2">
      <c r="A853" s="5" t="s">
        <v>340</v>
      </c>
      <c r="B853" s="5" t="s">
        <v>354</v>
      </c>
      <c r="C853" s="5" t="s">
        <v>908</v>
      </c>
      <c r="D853" s="5" t="s">
        <v>12</v>
      </c>
      <c r="E853" s="5" t="s">
        <v>13</v>
      </c>
      <c r="F853" s="5" t="s">
        <v>14</v>
      </c>
      <c r="G853" s="6">
        <v>29400</v>
      </c>
      <c r="H853" s="846" t="str">
        <f>HYPERLINK("https://adv-map.ru/place/?LINK=fe1cc1f05df77da32518ef3a2f9ecab3","Ссылка")</f>
        <v>Ссылка</v>
      </c>
      <c r="I853" s="5" t="s">
        <v>907</v>
      </c>
    </row>
    <row r="854" spans="1:9" s="4" customFormat="1" ht="38.1" customHeight="1" outlineLevel="1" x14ac:dyDescent="0.2">
      <c r="A854" s="5" t="s">
        <v>340</v>
      </c>
      <c r="B854" s="5" t="s">
        <v>354</v>
      </c>
      <c r="C854" s="5" t="s">
        <v>909</v>
      </c>
      <c r="D854" s="5" t="s">
        <v>12</v>
      </c>
      <c r="E854" s="5" t="s">
        <v>13</v>
      </c>
      <c r="F854" s="5" t="s">
        <v>16</v>
      </c>
      <c r="G854" s="6">
        <v>21000</v>
      </c>
      <c r="H854" s="847" t="str">
        <f>HYPERLINK("https://adv-map.ru/place/?LINK=95de53b0767f99ec0232aaae1a3af3ec","Ссылка")</f>
        <v>Ссылка</v>
      </c>
      <c r="I854" s="5" t="s">
        <v>910</v>
      </c>
    </row>
    <row r="855" spans="1:9" s="4" customFormat="1" ht="38.1" customHeight="1" outlineLevel="1" x14ac:dyDescent="0.2">
      <c r="A855" s="5" t="s">
        <v>340</v>
      </c>
      <c r="B855" s="5" t="s">
        <v>354</v>
      </c>
      <c r="C855" s="5" t="s">
        <v>911</v>
      </c>
      <c r="D855" s="5" t="s">
        <v>12</v>
      </c>
      <c r="E855" s="5" t="s">
        <v>13</v>
      </c>
      <c r="F855" s="5" t="s">
        <v>14</v>
      </c>
      <c r="G855" s="6">
        <v>29400</v>
      </c>
      <c r="H855" s="848" t="str">
        <f>HYPERLINK("https://adv-map.ru/place/?LINK=660872af7c81629e29c72496a5c2d508","Ссылка")</f>
        <v>Ссылка</v>
      </c>
      <c r="I855" s="5" t="s">
        <v>910</v>
      </c>
    </row>
    <row r="856" spans="1:9" s="4" customFormat="1" ht="38.1" customHeight="1" outlineLevel="1" x14ac:dyDescent="0.2">
      <c r="A856" s="5" t="s">
        <v>340</v>
      </c>
      <c r="B856" s="5" t="s">
        <v>354</v>
      </c>
      <c r="C856" s="5" t="s">
        <v>912</v>
      </c>
      <c r="D856" s="5" t="s">
        <v>12</v>
      </c>
      <c r="E856" s="5" t="s">
        <v>13</v>
      </c>
      <c r="F856" s="5" t="s">
        <v>14</v>
      </c>
      <c r="G856" s="6">
        <v>29400</v>
      </c>
      <c r="H856" s="849" t="str">
        <f>HYPERLINK("https://adv-map.ru/place/?LINK=b1eb08fb9333f0d57ae3214f60a76984","Ссылка")</f>
        <v>Ссылка</v>
      </c>
      <c r="I856" s="5" t="s">
        <v>913</v>
      </c>
    </row>
    <row r="857" spans="1:9" s="4" customFormat="1" ht="38.1" customHeight="1" outlineLevel="1" x14ac:dyDescent="0.2">
      <c r="A857" s="5" t="s">
        <v>340</v>
      </c>
      <c r="B857" s="5" t="s">
        <v>354</v>
      </c>
      <c r="C857" s="5" t="s">
        <v>914</v>
      </c>
      <c r="D857" s="5" t="s">
        <v>12</v>
      </c>
      <c r="E857" s="5" t="s">
        <v>13</v>
      </c>
      <c r="F857" s="5" t="s">
        <v>16</v>
      </c>
      <c r="G857" s="6">
        <v>21000</v>
      </c>
      <c r="H857" s="850" t="str">
        <f>HYPERLINK("https://adv-map.ru/place/?LINK=49b1c67d48087d34cdbb50912899b6d6","Ссылка")</f>
        <v>Ссылка</v>
      </c>
      <c r="I857" s="5" t="s">
        <v>913</v>
      </c>
    </row>
    <row r="858" spans="1:9" s="4" customFormat="1" ht="38.1" customHeight="1" outlineLevel="1" x14ac:dyDescent="0.2">
      <c r="A858" s="5" t="s">
        <v>340</v>
      </c>
      <c r="B858" s="5" t="s">
        <v>354</v>
      </c>
      <c r="C858" s="5" t="s">
        <v>915</v>
      </c>
      <c r="D858" s="5" t="s">
        <v>12</v>
      </c>
      <c r="E858" s="5" t="s">
        <v>13</v>
      </c>
      <c r="F858" s="5" t="s">
        <v>14</v>
      </c>
      <c r="G858" s="6">
        <v>29400</v>
      </c>
      <c r="H858" s="851" t="str">
        <f>HYPERLINK("https://adv-map.ru/place/?LINK=96a6c5c846336508b263ebac87831df5","Ссылка")</f>
        <v>Ссылка</v>
      </c>
      <c r="I858" s="5" t="s">
        <v>916</v>
      </c>
    </row>
    <row r="859" spans="1:9" s="4" customFormat="1" ht="38.1" customHeight="1" outlineLevel="1" x14ac:dyDescent="0.2">
      <c r="A859" s="5" t="s">
        <v>340</v>
      </c>
      <c r="B859" s="5" t="s">
        <v>354</v>
      </c>
      <c r="C859" s="5" t="s">
        <v>915</v>
      </c>
      <c r="D859" s="5" t="s">
        <v>12</v>
      </c>
      <c r="E859" s="5" t="s">
        <v>13</v>
      </c>
      <c r="F859" s="5" t="s">
        <v>16</v>
      </c>
      <c r="G859" s="6">
        <v>21000</v>
      </c>
      <c r="H859" s="852" t="str">
        <f>HYPERLINK("https://adv-map.ru/place/?LINK=0abec5615c43f49058053b951f5217ef","Ссылка")</f>
        <v>Ссылка</v>
      </c>
      <c r="I859" s="5" t="s">
        <v>917</v>
      </c>
    </row>
    <row r="860" spans="1:9" s="4" customFormat="1" ht="38.1" customHeight="1" outlineLevel="1" x14ac:dyDescent="0.2">
      <c r="A860" s="5" t="s">
        <v>340</v>
      </c>
      <c r="B860" s="5" t="s">
        <v>354</v>
      </c>
      <c r="C860" s="5" t="s">
        <v>918</v>
      </c>
      <c r="D860" s="5" t="s">
        <v>12</v>
      </c>
      <c r="E860" s="5" t="s">
        <v>13</v>
      </c>
      <c r="F860" s="5" t="s">
        <v>14</v>
      </c>
      <c r="G860" s="6">
        <v>29400</v>
      </c>
      <c r="H860" s="853" t="str">
        <f>HYPERLINK("https://adv-map.ru/place/?LINK=b084ee2e6af846fbf80a61e4a76b0bd5","Ссылка")</f>
        <v>Ссылка</v>
      </c>
      <c r="I860" s="5" t="s">
        <v>917</v>
      </c>
    </row>
    <row r="861" spans="1:9" s="4" customFormat="1" ht="38.1" customHeight="1" outlineLevel="1" x14ac:dyDescent="0.2">
      <c r="A861" s="5" t="s">
        <v>340</v>
      </c>
      <c r="B861" s="5" t="s">
        <v>354</v>
      </c>
      <c r="C861" s="5" t="s">
        <v>918</v>
      </c>
      <c r="D861" s="5" t="s">
        <v>12</v>
      </c>
      <c r="E861" s="5" t="s">
        <v>13</v>
      </c>
      <c r="F861" s="5" t="s">
        <v>16</v>
      </c>
      <c r="G861" s="6">
        <v>18000</v>
      </c>
      <c r="H861" s="854" t="str">
        <f>HYPERLINK("https://adv-map.ru/place/?LINK=70f3513226fe25a4d07b757b61386798","Ссылка")</f>
        <v>Ссылка</v>
      </c>
      <c r="I861" s="5" t="s">
        <v>916</v>
      </c>
    </row>
    <row r="862" spans="1:9" s="4" customFormat="1" ht="38.1" customHeight="1" outlineLevel="1" x14ac:dyDescent="0.2">
      <c r="A862" s="5" t="s">
        <v>340</v>
      </c>
      <c r="B862" s="5" t="s">
        <v>354</v>
      </c>
      <c r="C862" s="5" t="s">
        <v>919</v>
      </c>
      <c r="D862" s="5" t="s">
        <v>12</v>
      </c>
      <c r="E862" s="5" t="s">
        <v>13</v>
      </c>
      <c r="F862" s="5" t="s">
        <v>14</v>
      </c>
      <c r="G862" s="6">
        <v>25200</v>
      </c>
      <c r="H862" s="855" t="str">
        <f>HYPERLINK("https://adv-map.ru/place/?LINK=0afa1ce78beb74f860933b8cc92d78cc","Ссылка")</f>
        <v>Ссылка</v>
      </c>
      <c r="I862" s="5" t="s">
        <v>920</v>
      </c>
    </row>
    <row r="863" spans="1:9" s="4" customFormat="1" ht="38.1" customHeight="1" outlineLevel="1" x14ac:dyDescent="0.2">
      <c r="A863" s="5" t="s">
        <v>340</v>
      </c>
      <c r="B863" s="5" t="s">
        <v>354</v>
      </c>
      <c r="C863" s="5" t="s">
        <v>921</v>
      </c>
      <c r="D863" s="5" t="s">
        <v>12</v>
      </c>
      <c r="E863" s="5" t="s">
        <v>13</v>
      </c>
      <c r="F863" s="5" t="s">
        <v>16</v>
      </c>
      <c r="G863" s="6">
        <v>14700</v>
      </c>
      <c r="H863" s="856" t="str">
        <f>HYPERLINK("https://adv-map.ru/place/?LINK=775b44d733fdeffb30e641cada5950a6","Ссылка")</f>
        <v>Ссылка</v>
      </c>
      <c r="I863" s="5" t="s">
        <v>920</v>
      </c>
    </row>
    <row r="864" spans="1:9" s="4" customFormat="1" ht="38.1" customHeight="1" outlineLevel="1" x14ac:dyDescent="0.2">
      <c r="A864" s="5" t="s">
        <v>340</v>
      </c>
      <c r="B864" s="5" t="s">
        <v>354</v>
      </c>
      <c r="C864" s="5" t="s">
        <v>922</v>
      </c>
      <c r="D864" s="5" t="s">
        <v>12</v>
      </c>
      <c r="E864" s="5" t="s">
        <v>13</v>
      </c>
      <c r="F864" s="5" t="s">
        <v>14</v>
      </c>
      <c r="G864" s="6">
        <v>35700</v>
      </c>
      <c r="H864" s="857" t="str">
        <f>HYPERLINK("https://adv-map.ru/place/?LINK=f20a9c61fd2d51e7edbc0a2ed3684cd3","Ссылка")</f>
        <v>Ссылка</v>
      </c>
      <c r="I864" s="5" t="s">
        <v>923</v>
      </c>
    </row>
    <row r="865" spans="1:9" s="4" customFormat="1" ht="38.1" customHeight="1" outlineLevel="1" x14ac:dyDescent="0.2">
      <c r="A865" s="5" t="s">
        <v>340</v>
      </c>
      <c r="B865" s="5" t="s">
        <v>354</v>
      </c>
      <c r="C865" s="5" t="s">
        <v>922</v>
      </c>
      <c r="D865" s="5" t="s">
        <v>12</v>
      </c>
      <c r="E865" s="5" t="s">
        <v>13</v>
      </c>
      <c r="F865" s="5" t="s">
        <v>16</v>
      </c>
      <c r="G865" s="6">
        <v>26250</v>
      </c>
      <c r="H865" s="858" t="str">
        <f>HYPERLINK("https://adv-map.ru/place/?LINK=cb5fb28c22290caec45dae9383e0449d","Ссылка")</f>
        <v>Ссылка</v>
      </c>
      <c r="I865" s="5" t="s">
        <v>923</v>
      </c>
    </row>
    <row r="866" spans="1:9" s="4" customFormat="1" ht="38.1" customHeight="1" outlineLevel="1" x14ac:dyDescent="0.2">
      <c r="A866" s="5" t="s">
        <v>340</v>
      </c>
      <c r="B866" s="5" t="s">
        <v>354</v>
      </c>
      <c r="C866" s="5" t="s">
        <v>924</v>
      </c>
      <c r="D866" s="5" t="s">
        <v>12</v>
      </c>
      <c r="E866" s="5" t="s">
        <v>13</v>
      </c>
      <c r="F866" s="5" t="s">
        <v>14</v>
      </c>
      <c r="G866" s="6">
        <v>20000</v>
      </c>
      <c r="H866" s="859" t="str">
        <f>HYPERLINK("https://adv-map.ru/place/?LINK=2ea6d26996b6c48a1b586af9bb95207a","Ссылка")</f>
        <v>Ссылка</v>
      </c>
      <c r="I866" s="5" t="s">
        <v>925</v>
      </c>
    </row>
    <row r="867" spans="1:9" s="4" customFormat="1" ht="38.1" customHeight="1" outlineLevel="1" x14ac:dyDescent="0.2">
      <c r="A867" s="5" t="s">
        <v>340</v>
      </c>
      <c r="B867" s="5" t="s">
        <v>354</v>
      </c>
      <c r="C867" s="5" t="s">
        <v>924</v>
      </c>
      <c r="D867" s="5" t="s">
        <v>12</v>
      </c>
      <c r="E867" s="5" t="s">
        <v>13</v>
      </c>
      <c r="F867" s="5" t="s">
        <v>16</v>
      </c>
      <c r="G867" s="6">
        <v>15000</v>
      </c>
      <c r="H867" s="860" t="str">
        <f>HYPERLINK("https://adv-map.ru/place/?LINK=f016f5c3a2ce228da43cc109de26f1e5","Ссылка")</f>
        <v>Ссылка</v>
      </c>
      <c r="I867" s="5" t="s">
        <v>925</v>
      </c>
    </row>
    <row r="868" spans="1:9" s="4" customFormat="1" ht="38.1" customHeight="1" outlineLevel="1" x14ac:dyDescent="0.2">
      <c r="A868" s="5" t="s">
        <v>340</v>
      </c>
      <c r="B868" s="5" t="s">
        <v>354</v>
      </c>
      <c r="C868" s="5" t="s">
        <v>926</v>
      </c>
      <c r="D868" s="5" t="s">
        <v>12</v>
      </c>
      <c r="E868" s="5" t="s">
        <v>13</v>
      </c>
      <c r="F868" s="5" t="s">
        <v>14</v>
      </c>
      <c r="G868" s="6">
        <v>25200</v>
      </c>
      <c r="H868" s="861" t="str">
        <f>HYPERLINK("https://adv-map.ru/place/?LINK=c2b3a70f85084e8229d3991d1e30ccc8","Ссылка")</f>
        <v>Ссылка</v>
      </c>
      <c r="I868" s="5" t="s">
        <v>927</v>
      </c>
    </row>
    <row r="869" spans="1:9" s="4" customFormat="1" ht="38.1" customHeight="1" outlineLevel="1" x14ac:dyDescent="0.2">
      <c r="A869" s="5" t="s">
        <v>340</v>
      </c>
      <c r="B869" s="5" t="s">
        <v>354</v>
      </c>
      <c r="C869" s="5" t="s">
        <v>926</v>
      </c>
      <c r="D869" s="5" t="s">
        <v>12</v>
      </c>
      <c r="E869" s="5" t="s">
        <v>13</v>
      </c>
      <c r="F869" s="5" t="s">
        <v>16</v>
      </c>
      <c r="G869" s="6">
        <v>18900</v>
      </c>
      <c r="H869" s="862" t="str">
        <f>HYPERLINK("https://adv-map.ru/place/?LINK=ddc23434e7aa6a74f7f47f741ecf8132","Ссылка")</f>
        <v>Ссылка</v>
      </c>
      <c r="I869" s="5" t="s">
        <v>927</v>
      </c>
    </row>
    <row r="870" spans="1:9" s="4" customFormat="1" ht="38.1" customHeight="1" outlineLevel="1" x14ac:dyDescent="0.2">
      <c r="A870" s="5" t="s">
        <v>340</v>
      </c>
      <c r="B870" s="5" t="s">
        <v>354</v>
      </c>
      <c r="C870" s="5" t="s">
        <v>928</v>
      </c>
      <c r="D870" s="5" t="s">
        <v>12</v>
      </c>
      <c r="E870" s="5" t="s">
        <v>13</v>
      </c>
      <c r="F870" s="5" t="s">
        <v>14</v>
      </c>
      <c r="G870" s="6">
        <v>25200</v>
      </c>
      <c r="H870" s="863" t="str">
        <f>HYPERLINK("https://adv-map.ru/place/?LINK=63b8070ff4dfa73348684cf0a5a96d14","Ссылка")</f>
        <v>Ссылка</v>
      </c>
      <c r="I870" s="5" t="s">
        <v>929</v>
      </c>
    </row>
    <row r="871" spans="1:9" s="4" customFormat="1" ht="38.1" customHeight="1" outlineLevel="1" x14ac:dyDescent="0.2">
      <c r="A871" s="5" t="s">
        <v>340</v>
      </c>
      <c r="B871" s="5" t="s">
        <v>354</v>
      </c>
      <c r="C871" s="5" t="s">
        <v>928</v>
      </c>
      <c r="D871" s="5" t="s">
        <v>12</v>
      </c>
      <c r="E871" s="5" t="s">
        <v>13</v>
      </c>
      <c r="F871" s="5" t="s">
        <v>16</v>
      </c>
      <c r="G871" s="6">
        <v>18900</v>
      </c>
      <c r="H871" s="864" t="str">
        <f>HYPERLINK("https://adv-map.ru/place/?LINK=5b0bd789e56324d92e279b03a6b8c568","Ссылка")</f>
        <v>Ссылка</v>
      </c>
      <c r="I871" s="5" t="s">
        <v>929</v>
      </c>
    </row>
    <row r="872" spans="1:9" s="4" customFormat="1" ht="38.1" customHeight="1" outlineLevel="1" x14ac:dyDescent="0.2">
      <c r="A872" s="5" t="s">
        <v>340</v>
      </c>
      <c r="B872" s="5" t="s">
        <v>354</v>
      </c>
      <c r="C872" s="5" t="s">
        <v>930</v>
      </c>
      <c r="D872" s="5" t="s">
        <v>12</v>
      </c>
      <c r="E872" s="5" t="s">
        <v>13</v>
      </c>
      <c r="F872" s="5" t="s">
        <v>14</v>
      </c>
      <c r="G872" s="6">
        <v>29400</v>
      </c>
      <c r="H872" s="865" t="str">
        <f>HYPERLINK("https://adv-map.ru/place/?LINK=c8f52a71f47651ae7807355b6592aa1a","Ссылка")</f>
        <v>Ссылка</v>
      </c>
      <c r="I872" s="5" t="s">
        <v>931</v>
      </c>
    </row>
    <row r="873" spans="1:9" s="4" customFormat="1" ht="38.1" customHeight="1" outlineLevel="1" x14ac:dyDescent="0.2">
      <c r="A873" s="5" t="s">
        <v>340</v>
      </c>
      <c r="B873" s="5" t="s">
        <v>354</v>
      </c>
      <c r="C873" s="5" t="s">
        <v>930</v>
      </c>
      <c r="D873" s="5" t="s">
        <v>12</v>
      </c>
      <c r="E873" s="5" t="s">
        <v>13</v>
      </c>
      <c r="F873" s="5" t="s">
        <v>16</v>
      </c>
      <c r="G873" s="6">
        <v>21000</v>
      </c>
      <c r="H873" s="866" t="str">
        <f>HYPERLINK("https://adv-map.ru/place/?LINK=1c2a0aa165a9b9984084ceba18b43bec","Ссылка")</f>
        <v>Ссылка</v>
      </c>
      <c r="I873" s="5" t="s">
        <v>931</v>
      </c>
    </row>
    <row r="874" spans="1:9" s="4" customFormat="1" ht="38.1" customHeight="1" outlineLevel="1" x14ac:dyDescent="0.2">
      <c r="A874" s="5" t="s">
        <v>340</v>
      </c>
      <c r="B874" s="5" t="s">
        <v>354</v>
      </c>
      <c r="C874" s="5" t="s">
        <v>932</v>
      </c>
      <c r="D874" s="5" t="s">
        <v>12</v>
      </c>
      <c r="E874" s="5" t="s">
        <v>13</v>
      </c>
      <c r="F874" s="5" t="s">
        <v>14</v>
      </c>
      <c r="G874" s="6">
        <v>25200</v>
      </c>
      <c r="H874" s="867" t="str">
        <f>HYPERLINK("https://adv-map.ru/place/?LINK=4e687570abbfcd8e84149be7365a08a3","Ссылка")</f>
        <v>Ссылка</v>
      </c>
      <c r="I874" s="5" t="s">
        <v>933</v>
      </c>
    </row>
    <row r="875" spans="1:9" s="4" customFormat="1" ht="38.1" customHeight="1" outlineLevel="1" x14ac:dyDescent="0.2">
      <c r="A875" s="5" t="s">
        <v>340</v>
      </c>
      <c r="B875" s="5" t="s">
        <v>354</v>
      </c>
      <c r="C875" s="5" t="s">
        <v>934</v>
      </c>
      <c r="D875" s="5" t="s">
        <v>12</v>
      </c>
      <c r="E875" s="5" t="s">
        <v>13</v>
      </c>
      <c r="F875" s="5" t="s">
        <v>16</v>
      </c>
      <c r="G875" s="6">
        <v>18900</v>
      </c>
      <c r="H875" s="868" t="str">
        <f>HYPERLINK("https://adv-map.ru/place/?LINK=7e141e8098705e24cd1aec7e36ad8a19","Ссылка")</f>
        <v>Ссылка</v>
      </c>
      <c r="I875" s="5" t="s">
        <v>933</v>
      </c>
    </row>
    <row r="876" spans="1:9" s="4" customFormat="1" ht="38.1" customHeight="1" outlineLevel="1" x14ac:dyDescent="0.2">
      <c r="A876" s="5" t="s">
        <v>340</v>
      </c>
      <c r="B876" s="5" t="s">
        <v>354</v>
      </c>
      <c r="C876" s="5" t="s">
        <v>935</v>
      </c>
      <c r="D876" s="5" t="s">
        <v>12</v>
      </c>
      <c r="E876" s="5" t="s">
        <v>13</v>
      </c>
      <c r="F876" s="5" t="s">
        <v>14</v>
      </c>
      <c r="G876" s="6">
        <v>25200</v>
      </c>
      <c r="H876" s="869" t="str">
        <f>HYPERLINK("https://adv-map.ru/place/?LINK=1554c68b72dcbd047129abe37c43aef0","Ссылка")</f>
        <v>Ссылка</v>
      </c>
      <c r="I876" s="5" t="s">
        <v>936</v>
      </c>
    </row>
    <row r="877" spans="1:9" s="4" customFormat="1" ht="38.1" customHeight="1" outlineLevel="1" x14ac:dyDescent="0.2">
      <c r="A877" s="5" t="s">
        <v>340</v>
      </c>
      <c r="B877" s="5" t="s">
        <v>354</v>
      </c>
      <c r="C877" s="5" t="s">
        <v>937</v>
      </c>
      <c r="D877" s="5" t="s">
        <v>12</v>
      </c>
      <c r="E877" s="5" t="s">
        <v>13</v>
      </c>
      <c r="F877" s="5" t="s">
        <v>16</v>
      </c>
      <c r="G877" s="6">
        <v>18900</v>
      </c>
      <c r="H877" s="870" t="str">
        <f>HYPERLINK("https://adv-map.ru/place/?LINK=661fdccff347aca13ea8612a4d9ba5b4","Ссылка")</f>
        <v>Ссылка</v>
      </c>
      <c r="I877" s="5" t="s">
        <v>936</v>
      </c>
    </row>
    <row r="878" spans="1:9" s="4" customFormat="1" ht="38.1" customHeight="1" outlineLevel="1" x14ac:dyDescent="0.2">
      <c r="A878" s="5" t="s">
        <v>340</v>
      </c>
      <c r="B878" s="5" t="s">
        <v>354</v>
      </c>
      <c r="C878" s="5" t="s">
        <v>938</v>
      </c>
      <c r="D878" s="5" t="s">
        <v>12</v>
      </c>
      <c r="E878" s="5" t="s">
        <v>13</v>
      </c>
      <c r="F878" s="5" t="s">
        <v>16</v>
      </c>
      <c r="G878" s="6">
        <v>18900</v>
      </c>
      <c r="H878" s="871" t="str">
        <f>HYPERLINK("https://adv-map.ru/place/?LINK=873b7081b036c58d0b66e8256f4b7e3c","Ссылка")</f>
        <v>Ссылка</v>
      </c>
      <c r="I878" s="5" t="s">
        <v>939</v>
      </c>
    </row>
    <row r="879" spans="1:9" s="4" customFormat="1" ht="38.1" customHeight="1" outlineLevel="1" x14ac:dyDescent="0.2">
      <c r="A879" s="5" t="s">
        <v>340</v>
      </c>
      <c r="B879" s="5" t="s">
        <v>354</v>
      </c>
      <c r="C879" s="5" t="s">
        <v>940</v>
      </c>
      <c r="D879" s="5" t="s">
        <v>12</v>
      </c>
      <c r="E879" s="5" t="s">
        <v>13</v>
      </c>
      <c r="F879" s="5" t="s">
        <v>14</v>
      </c>
      <c r="G879" s="6">
        <v>25200</v>
      </c>
      <c r="H879" s="872" t="str">
        <f>HYPERLINK("https://adv-map.ru/place/?LINK=941723218b3ca1ba92465ba7bbac29ed","Ссылка")</f>
        <v>Ссылка</v>
      </c>
      <c r="I879" s="5" t="s">
        <v>941</v>
      </c>
    </row>
    <row r="880" spans="1:9" s="4" customFormat="1" ht="38.1" customHeight="1" outlineLevel="1" x14ac:dyDescent="0.2">
      <c r="A880" s="5" t="s">
        <v>340</v>
      </c>
      <c r="B880" s="5" t="s">
        <v>354</v>
      </c>
      <c r="C880" s="5" t="s">
        <v>940</v>
      </c>
      <c r="D880" s="5" t="s">
        <v>12</v>
      </c>
      <c r="E880" s="5" t="s">
        <v>13</v>
      </c>
      <c r="F880" s="5" t="s">
        <v>16</v>
      </c>
      <c r="G880" s="6">
        <v>18900</v>
      </c>
      <c r="H880" s="873" t="str">
        <f>HYPERLINK("https://adv-map.ru/place/?LINK=c6a2d9835f5b82aef4e68c21ecdda8fa","Ссылка")</f>
        <v>Ссылка</v>
      </c>
      <c r="I880" s="5" t="s">
        <v>941</v>
      </c>
    </row>
    <row r="881" spans="1:9" s="4" customFormat="1" ht="38.1" customHeight="1" outlineLevel="1" x14ac:dyDescent="0.2">
      <c r="A881" s="5" t="s">
        <v>340</v>
      </c>
      <c r="B881" s="5" t="s">
        <v>354</v>
      </c>
      <c r="C881" s="5" t="s">
        <v>942</v>
      </c>
      <c r="D881" s="5" t="s">
        <v>12</v>
      </c>
      <c r="E881" s="5" t="s">
        <v>13</v>
      </c>
      <c r="F881" s="5" t="s">
        <v>14</v>
      </c>
      <c r="G881" s="6">
        <v>25200</v>
      </c>
      <c r="H881" s="874" t="str">
        <f>HYPERLINK("https://adv-map.ru/place/?LINK=52c268d8c7c2f37f997ff929e6c824b2","Ссылка")</f>
        <v>Ссылка</v>
      </c>
      <c r="I881" s="5" t="s">
        <v>943</v>
      </c>
    </row>
    <row r="882" spans="1:9" s="4" customFormat="1" ht="38.1" customHeight="1" outlineLevel="1" x14ac:dyDescent="0.2">
      <c r="A882" s="5" t="s">
        <v>340</v>
      </c>
      <c r="B882" s="5" t="s">
        <v>354</v>
      </c>
      <c r="C882" s="5" t="s">
        <v>944</v>
      </c>
      <c r="D882" s="5" t="s">
        <v>12</v>
      </c>
      <c r="E882" s="5" t="s">
        <v>13</v>
      </c>
      <c r="F882" s="5" t="s">
        <v>16</v>
      </c>
      <c r="G882" s="6">
        <v>18900</v>
      </c>
      <c r="H882" s="875" t="str">
        <f>HYPERLINK("https://adv-map.ru/place/?LINK=808feeaa287dfb64316efcb4d9a251e2","Ссылка")</f>
        <v>Ссылка</v>
      </c>
      <c r="I882" s="5" t="s">
        <v>945</v>
      </c>
    </row>
    <row r="883" spans="1:9" s="4" customFormat="1" ht="38.1" customHeight="1" outlineLevel="1" x14ac:dyDescent="0.2">
      <c r="A883" s="5" t="s">
        <v>340</v>
      </c>
      <c r="B883" s="5" t="s">
        <v>354</v>
      </c>
      <c r="C883" s="5" t="s">
        <v>946</v>
      </c>
      <c r="D883" s="5" t="s">
        <v>12</v>
      </c>
      <c r="E883" s="5" t="s">
        <v>13</v>
      </c>
      <c r="F883" s="5" t="s">
        <v>14</v>
      </c>
      <c r="G883" s="6">
        <v>25200</v>
      </c>
      <c r="H883" s="876" t="str">
        <f>HYPERLINK("https://adv-map.ru/place/?LINK=b91ace4882189f549c24643eb20b915d","Ссылка")</f>
        <v>Ссылка</v>
      </c>
      <c r="I883" s="5" t="s">
        <v>945</v>
      </c>
    </row>
    <row r="884" spans="1:9" s="4" customFormat="1" ht="38.1" customHeight="1" outlineLevel="1" x14ac:dyDescent="0.2">
      <c r="A884" s="5" t="s">
        <v>340</v>
      </c>
      <c r="B884" s="5" t="s">
        <v>354</v>
      </c>
      <c r="C884" s="5" t="s">
        <v>947</v>
      </c>
      <c r="D884" s="5" t="s">
        <v>12</v>
      </c>
      <c r="E884" s="5" t="s">
        <v>13</v>
      </c>
      <c r="F884" s="5" t="s">
        <v>14</v>
      </c>
      <c r="G884" s="6">
        <v>25200</v>
      </c>
      <c r="H884" s="877" t="str">
        <f>HYPERLINK("https://adv-map.ru/place/?LINK=233c4f54d58ddce8759a114f84d2e5dc","Ссылка")</f>
        <v>Ссылка</v>
      </c>
      <c r="I884" s="5" t="s">
        <v>948</v>
      </c>
    </row>
    <row r="885" spans="1:9" s="4" customFormat="1" ht="38.1" customHeight="1" outlineLevel="1" x14ac:dyDescent="0.2">
      <c r="A885" s="5" t="s">
        <v>340</v>
      </c>
      <c r="B885" s="5" t="s">
        <v>354</v>
      </c>
      <c r="C885" s="5" t="s">
        <v>947</v>
      </c>
      <c r="D885" s="5" t="s">
        <v>12</v>
      </c>
      <c r="E885" s="5" t="s">
        <v>13</v>
      </c>
      <c r="F885" s="5" t="s">
        <v>16</v>
      </c>
      <c r="G885" s="6">
        <v>18900</v>
      </c>
      <c r="H885" s="878" t="str">
        <f>HYPERLINK("https://adv-map.ru/place/?LINK=0e8681cbcb987a556f38636266f10c77","Ссылка")</f>
        <v>Ссылка</v>
      </c>
      <c r="I885" s="5" t="s">
        <v>948</v>
      </c>
    </row>
    <row r="886" spans="1:9" s="4" customFormat="1" ht="38.1" customHeight="1" outlineLevel="1" x14ac:dyDescent="0.2">
      <c r="A886" s="5" t="s">
        <v>340</v>
      </c>
      <c r="B886" s="5" t="s">
        <v>354</v>
      </c>
      <c r="C886" s="5" t="s">
        <v>949</v>
      </c>
      <c r="D886" s="5" t="s">
        <v>12</v>
      </c>
      <c r="E886" s="5" t="s">
        <v>13</v>
      </c>
      <c r="F886" s="5" t="s">
        <v>16</v>
      </c>
      <c r="G886" s="6">
        <v>18900</v>
      </c>
      <c r="H886" s="879" t="str">
        <f>HYPERLINK("https://adv-map.ru/place/?LINK=0b98f597cf6f52f9bebef152e14520a4","Ссылка")</f>
        <v>Ссылка</v>
      </c>
      <c r="I886" s="5" t="s">
        <v>943</v>
      </c>
    </row>
    <row r="887" spans="1:9" s="4" customFormat="1" ht="38.1" customHeight="1" outlineLevel="1" x14ac:dyDescent="0.2">
      <c r="A887" s="5" t="s">
        <v>340</v>
      </c>
      <c r="B887" s="5" t="s">
        <v>354</v>
      </c>
      <c r="C887" s="5" t="s">
        <v>950</v>
      </c>
      <c r="D887" s="5" t="s">
        <v>12</v>
      </c>
      <c r="E887" s="5" t="s">
        <v>13</v>
      </c>
      <c r="F887" s="5" t="s">
        <v>14</v>
      </c>
      <c r="G887" s="6">
        <v>25200</v>
      </c>
      <c r="H887" s="880" t="str">
        <f>HYPERLINK("https://adv-map.ru/place/?LINK=8d5dbe36bb99533c06f40a65fb30ca7c","Ссылка")</f>
        <v>Ссылка</v>
      </c>
      <c r="I887" s="5" t="s">
        <v>939</v>
      </c>
    </row>
    <row r="888" spans="1:9" s="4" customFormat="1" ht="38.1" customHeight="1" outlineLevel="1" x14ac:dyDescent="0.2">
      <c r="A888" s="5" t="s">
        <v>340</v>
      </c>
      <c r="B888" s="5" t="s">
        <v>354</v>
      </c>
      <c r="C888" s="5" t="s">
        <v>951</v>
      </c>
      <c r="D888" s="5" t="s">
        <v>12</v>
      </c>
      <c r="E888" s="5" t="s">
        <v>13</v>
      </c>
      <c r="F888" s="5" t="s">
        <v>16</v>
      </c>
      <c r="G888" s="6">
        <v>25200</v>
      </c>
      <c r="H888" s="881" t="str">
        <f>HYPERLINK("https://adv-map.ru/place/?LINK=edcf5b66dc17fc9fefe5e41fe99f7e86","Ссылка")</f>
        <v>Ссылка</v>
      </c>
      <c r="I888" s="5" t="s">
        <v>952</v>
      </c>
    </row>
    <row r="889" spans="1:9" s="4" customFormat="1" ht="38.1" customHeight="1" outlineLevel="1" x14ac:dyDescent="0.2">
      <c r="A889" s="5" t="s">
        <v>340</v>
      </c>
      <c r="B889" s="5" t="s">
        <v>354</v>
      </c>
      <c r="C889" s="5" t="s">
        <v>953</v>
      </c>
      <c r="D889" s="5" t="s">
        <v>464</v>
      </c>
      <c r="E889" s="5" t="s">
        <v>13</v>
      </c>
      <c r="F889" s="5" t="s">
        <v>28</v>
      </c>
      <c r="G889" s="6">
        <v>52500</v>
      </c>
      <c r="H889" s="882" t="str">
        <f>HYPERLINK("https://adv-map.ru/place/?LINK=ec6d59cb465a08e94b24edbf8a19cb84","Ссылка")</f>
        <v>Ссылка</v>
      </c>
      <c r="I889" s="5" t="s">
        <v>954</v>
      </c>
    </row>
    <row r="890" spans="1:9" s="4" customFormat="1" ht="38.1" customHeight="1" outlineLevel="1" x14ac:dyDescent="0.2">
      <c r="A890" s="5" t="s">
        <v>340</v>
      </c>
      <c r="B890" s="5" t="s">
        <v>354</v>
      </c>
      <c r="C890" s="5" t="s">
        <v>953</v>
      </c>
      <c r="D890" s="5" t="s">
        <v>464</v>
      </c>
      <c r="E890" s="5" t="s">
        <v>13</v>
      </c>
      <c r="F890" s="5" t="s">
        <v>466</v>
      </c>
      <c r="G890" s="6">
        <v>52500</v>
      </c>
      <c r="H890" s="883" t="str">
        <f>HYPERLINK("https://adv-map.ru/place/?LINK=9c9b6d77bd4893e042814067b8a2fa09","Ссылка")</f>
        <v>Ссылка</v>
      </c>
      <c r="I890" s="5" t="s">
        <v>954</v>
      </c>
    </row>
    <row r="891" spans="1:9" s="4" customFormat="1" ht="38.1" customHeight="1" outlineLevel="1" x14ac:dyDescent="0.2">
      <c r="A891" s="5" t="s">
        <v>340</v>
      </c>
      <c r="B891" s="5" t="s">
        <v>354</v>
      </c>
      <c r="C891" s="5" t="s">
        <v>953</v>
      </c>
      <c r="D891" s="5" t="s">
        <v>464</v>
      </c>
      <c r="E891" s="5" t="s">
        <v>13</v>
      </c>
      <c r="F891" s="5" t="s">
        <v>467</v>
      </c>
      <c r="G891" s="6">
        <v>52500</v>
      </c>
      <c r="H891" s="884" t="str">
        <f>HYPERLINK("https://adv-map.ru/place/?LINK=5eb434ee580349a980fb0c66b65d8b8c","Ссылка")</f>
        <v>Ссылка</v>
      </c>
      <c r="I891" s="5" t="s">
        <v>954</v>
      </c>
    </row>
    <row r="892" spans="1:9" s="4" customFormat="1" ht="51" customHeight="1" outlineLevel="1" x14ac:dyDescent="0.2">
      <c r="A892" s="5" t="s">
        <v>340</v>
      </c>
      <c r="B892" s="5" t="s">
        <v>354</v>
      </c>
      <c r="C892" s="5" t="s">
        <v>953</v>
      </c>
      <c r="D892" s="5" t="s">
        <v>464</v>
      </c>
      <c r="E892" s="5" t="s">
        <v>13</v>
      </c>
      <c r="F892" s="5" t="s">
        <v>468</v>
      </c>
      <c r="G892" s="6">
        <v>52500</v>
      </c>
      <c r="H892" s="885" t="str">
        <f>HYPERLINK("https://adv-map.ru/place/?LINK=843b3b4f5374b99e6ab52a9366e6a6b0","Ссылка")</f>
        <v>Ссылка</v>
      </c>
      <c r="I892" s="5" t="s">
        <v>954</v>
      </c>
    </row>
    <row r="893" spans="1:9" s="4" customFormat="1" ht="38.1" customHeight="1" outlineLevel="1" x14ac:dyDescent="0.2">
      <c r="A893" s="5" t="s">
        <v>340</v>
      </c>
      <c r="B893" s="5" t="s">
        <v>354</v>
      </c>
      <c r="C893" s="5" t="s">
        <v>953</v>
      </c>
      <c r="D893" s="5" t="s">
        <v>464</v>
      </c>
      <c r="E893" s="5" t="s">
        <v>13</v>
      </c>
      <c r="F893" s="5" t="s">
        <v>30</v>
      </c>
      <c r="G893" s="6">
        <v>52500</v>
      </c>
      <c r="H893" s="886" t="str">
        <f>HYPERLINK("https://adv-map.ru/place/?LINK=064ad308a5202d15ffa13e404af910e7","Ссылка")</f>
        <v>Ссылка</v>
      </c>
      <c r="I893" s="5" t="s">
        <v>954</v>
      </c>
    </row>
    <row r="894" spans="1:9" s="4" customFormat="1" ht="38.1" customHeight="1" outlineLevel="1" x14ac:dyDescent="0.2">
      <c r="A894" s="5" t="s">
        <v>340</v>
      </c>
      <c r="B894" s="5" t="s">
        <v>354</v>
      </c>
      <c r="C894" s="5" t="s">
        <v>953</v>
      </c>
      <c r="D894" s="5" t="s">
        <v>464</v>
      </c>
      <c r="E894" s="5" t="s">
        <v>13</v>
      </c>
      <c r="F894" s="5" t="s">
        <v>31</v>
      </c>
      <c r="G894" s="6">
        <v>52500</v>
      </c>
      <c r="H894" s="887" t="str">
        <f>HYPERLINK("https://adv-map.ru/place/?LINK=54e8d0c9bc3a75a6e4b416c465887170","Ссылка")</f>
        <v>Ссылка</v>
      </c>
      <c r="I894" s="5" t="s">
        <v>954</v>
      </c>
    </row>
    <row r="895" spans="1:9" s="4" customFormat="1" ht="38.1" customHeight="1" outlineLevel="1" x14ac:dyDescent="0.2">
      <c r="A895" s="5" t="s">
        <v>340</v>
      </c>
      <c r="B895" s="5" t="s">
        <v>354</v>
      </c>
      <c r="C895" s="5" t="s">
        <v>953</v>
      </c>
      <c r="D895" s="5" t="s">
        <v>464</v>
      </c>
      <c r="E895" s="5" t="s">
        <v>13</v>
      </c>
      <c r="F895" s="5" t="s">
        <v>32</v>
      </c>
      <c r="G895" s="6">
        <v>52500</v>
      </c>
      <c r="H895" s="888" t="str">
        <f>HYPERLINK("https://adv-map.ru/place/?LINK=becda889b7e7a55df8afb5d36f349777","Ссылка")</f>
        <v>Ссылка</v>
      </c>
      <c r="I895" s="5" t="s">
        <v>954</v>
      </c>
    </row>
    <row r="896" spans="1:9" s="4" customFormat="1" ht="38.1" customHeight="1" outlineLevel="1" x14ac:dyDescent="0.2">
      <c r="A896" s="5" t="s">
        <v>340</v>
      </c>
      <c r="B896" s="5" t="s">
        <v>354</v>
      </c>
      <c r="C896" s="5" t="s">
        <v>953</v>
      </c>
      <c r="D896" s="5" t="s">
        <v>464</v>
      </c>
      <c r="E896" s="5" t="s">
        <v>13</v>
      </c>
      <c r="F896" s="5" t="s">
        <v>469</v>
      </c>
      <c r="G896" s="6">
        <v>52500</v>
      </c>
      <c r="H896" s="889" t="str">
        <f>HYPERLINK("https://adv-map.ru/place/?LINK=69b9c51d6406c3b88ddd28e3a9d6856a","Ссылка")</f>
        <v>Ссылка</v>
      </c>
      <c r="I896" s="5" t="s">
        <v>954</v>
      </c>
    </row>
    <row r="897" spans="1:9" s="4" customFormat="1" ht="38.1" customHeight="1" outlineLevel="1" x14ac:dyDescent="0.2">
      <c r="A897" s="5" t="s">
        <v>340</v>
      </c>
      <c r="B897" s="5" t="s">
        <v>354</v>
      </c>
      <c r="C897" s="5" t="s">
        <v>953</v>
      </c>
      <c r="D897" s="5" t="s">
        <v>464</v>
      </c>
      <c r="E897" s="5" t="s">
        <v>13</v>
      </c>
      <c r="F897" s="5" t="s">
        <v>470</v>
      </c>
      <c r="G897" s="6">
        <v>52500</v>
      </c>
      <c r="H897" s="890" t="str">
        <f>HYPERLINK("https://adv-map.ru/place/?LINK=5b41860ed3dfdce2aad7c60512432719","Ссылка")</f>
        <v>Ссылка</v>
      </c>
      <c r="I897" s="5" t="s">
        <v>954</v>
      </c>
    </row>
    <row r="898" spans="1:9" s="4" customFormat="1" ht="38.1" customHeight="1" outlineLevel="1" x14ac:dyDescent="0.2">
      <c r="A898" s="5" t="s">
        <v>340</v>
      </c>
      <c r="B898" s="5" t="s">
        <v>354</v>
      </c>
      <c r="C898" s="5" t="s">
        <v>953</v>
      </c>
      <c r="D898" s="5" t="s">
        <v>464</v>
      </c>
      <c r="E898" s="5" t="s">
        <v>13</v>
      </c>
      <c r="F898" s="5" t="s">
        <v>471</v>
      </c>
      <c r="G898" s="6">
        <v>52500</v>
      </c>
      <c r="H898" s="891" t="str">
        <f>HYPERLINK("https://adv-map.ru/place/?LINK=9729e3bbea226e8eefbe5b54af5e4080","Ссылка")</f>
        <v>Ссылка</v>
      </c>
      <c r="I898" s="5" t="s">
        <v>954</v>
      </c>
    </row>
    <row r="899" spans="1:9" s="4" customFormat="1" ht="38.1" customHeight="1" outlineLevel="1" x14ac:dyDescent="0.2">
      <c r="A899" s="5" t="s">
        <v>340</v>
      </c>
      <c r="B899" s="5" t="s">
        <v>354</v>
      </c>
      <c r="C899" s="5" t="s">
        <v>953</v>
      </c>
      <c r="D899" s="5" t="s">
        <v>464</v>
      </c>
      <c r="E899" s="5" t="s">
        <v>13</v>
      </c>
      <c r="F899" s="5" t="s">
        <v>472</v>
      </c>
      <c r="G899" s="6">
        <v>52500</v>
      </c>
      <c r="H899" s="892" t="str">
        <f>HYPERLINK("https://adv-map.ru/place/?LINK=c57392bb6062a5afdb1eabb381264b6c","Ссылка")</f>
        <v>Ссылка</v>
      </c>
      <c r="I899" s="5" t="s">
        <v>954</v>
      </c>
    </row>
    <row r="900" spans="1:9" s="4" customFormat="1" ht="38.1" customHeight="1" outlineLevel="1" x14ac:dyDescent="0.2">
      <c r="A900" s="5" t="s">
        <v>340</v>
      </c>
      <c r="B900" s="5" t="s">
        <v>354</v>
      </c>
      <c r="C900" s="5" t="s">
        <v>953</v>
      </c>
      <c r="D900" s="5" t="s">
        <v>464</v>
      </c>
      <c r="E900" s="5" t="s">
        <v>13</v>
      </c>
      <c r="F900" s="5" t="s">
        <v>473</v>
      </c>
      <c r="G900" s="6">
        <v>52500</v>
      </c>
      <c r="H900" s="893" t="str">
        <f>HYPERLINK("https://adv-map.ru/place/?LINK=6daef7de3655b6fc0aaa3c5a167e95b3","Ссылка")</f>
        <v>Ссылка</v>
      </c>
      <c r="I900" s="5" t="s">
        <v>954</v>
      </c>
    </row>
    <row r="901" spans="1:9" s="4" customFormat="1" ht="38.1" customHeight="1" outlineLevel="1" x14ac:dyDescent="0.2">
      <c r="A901" s="5" t="s">
        <v>340</v>
      </c>
      <c r="B901" s="5" t="s">
        <v>354</v>
      </c>
      <c r="C901" s="5" t="s">
        <v>955</v>
      </c>
      <c r="D901" s="5" t="s">
        <v>12</v>
      </c>
      <c r="E901" s="5" t="s">
        <v>13</v>
      </c>
      <c r="F901" s="5" t="s">
        <v>14</v>
      </c>
      <c r="G901" s="6">
        <v>37800</v>
      </c>
      <c r="H901" s="894" t="str">
        <f>HYPERLINK("https://adv-map.ru/place/?LINK=cded72a88b2363ada67d6c971dd0307b","Ссылка")</f>
        <v>Ссылка</v>
      </c>
      <c r="I901" s="5" t="s">
        <v>956</v>
      </c>
    </row>
    <row r="902" spans="1:9" s="4" customFormat="1" ht="38.1" customHeight="1" outlineLevel="1" x14ac:dyDescent="0.2">
      <c r="A902" s="5" t="s">
        <v>340</v>
      </c>
      <c r="B902" s="5" t="s">
        <v>354</v>
      </c>
      <c r="C902" s="5" t="s">
        <v>955</v>
      </c>
      <c r="D902" s="5" t="s">
        <v>12</v>
      </c>
      <c r="E902" s="5" t="s">
        <v>13</v>
      </c>
      <c r="F902" s="5" t="s">
        <v>16</v>
      </c>
      <c r="G902" s="6">
        <v>27720</v>
      </c>
      <c r="H902" s="895" t="str">
        <f>HYPERLINK("https://adv-map.ru/place/?LINK=1ac1899e40011bcaca0159d4c2d1db7e","Ссылка")</f>
        <v>Ссылка</v>
      </c>
      <c r="I902" s="5" t="s">
        <v>956</v>
      </c>
    </row>
    <row r="903" spans="1:9" s="4" customFormat="1" ht="38.1" customHeight="1" outlineLevel="1" x14ac:dyDescent="0.2">
      <c r="A903" s="5" t="s">
        <v>340</v>
      </c>
      <c r="B903" s="5" t="s">
        <v>354</v>
      </c>
      <c r="C903" s="5" t="s">
        <v>957</v>
      </c>
      <c r="D903" s="5" t="s">
        <v>351</v>
      </c>
      <c r="E903" s="5" t="s">
        <v>352</v>
      </c>
      <c r="F903" s="5" t="s">
        <v>14</v>
      </c>
      <c r="G903" s="6">
        <v>126000</v>
      </c>
      <c r="H903" s="896" t="str">
        <f>HYPERLINK("https://adv-map.ru/place/?LINK=e49110e753f86b7da63b5115863f8e84","Ссылка")</f>
        <v>Ссылка</v>
      </c>
      <c r="I903" s="5" t="s">
        <v>958</v>
      </c>
    </row>
    <row r="904" spans="1:9" s="4" customFormat="1" ht="38.1" customHeight="1" outlineLevel="1" x14ac:dyDescent="0.2">
      <c r="A904" s="5" t="s">
        <v>340</v>
      </c>
      <c r="B904" s="5" t="s">
        <v>354</v>
      </c>
      <c r="C904" s="5" t="s">
        <v>959</v>
      </c>
      <c r="D904" s="5" t="s">
        <v>351</v>
      </c>
      <c r="E904" s="5" t="s">
        <v>352</v>
      </c>
      <c r="F904" s="5" t="s">
        <v>16</v>
      </c>
      <c r="G904" s="6">
        <v>94500</v>
      </c>
      <c r="H904" s="897" t="str">
        <f>HYPERLINK("https://adv-map.ru/place/?LINK=6d01797b67108ef9f206840eac614b9a","Ссылка")</f>
        <v>Ссылка</v>
      </c>
      <c r="I904" s="5" t="s">
        <v>958</v>
      </c>
    </row>
    <row r="905" spans="1:9" s="4" customFormat="1" ht="38.1" customHeight="1" outlineLevel="1" x14ac:dyDescent="0.2">
      <c r="A905" s="5" t="s">
        <v>340</v>
      </c>
      <c r="B905" s="5" t="s">
        <v>354</v>
      </c>
      <c r="C905" s="5" t="s">
        <v>960</v>
      </c>
      <c r="D905" s="5" t="s">
        <v>12</v>
      </c>
      <c r="E905" s="5" t="s">
        <v>13</v>
      </c>
      <c r="F905" s="5" t="s">
        <v>14</v>
      </c>
      <c r="G905" s="6">
        <v>35280</v>
      </c>
      <c r="H905" s="898" t="str">
        <f>HYPERLINK("https://adv-map.ru/place/?LINK=040ef6be020c93c14fe1b2bc6e17cb6c","Ссылка")</f>
        <v>Ссылка</v>
      </c>
      <c r="I905" s="5" t="s">
        <v>961</v>
      </c>
    </row>
    <row r="906" spans="1:9" s="4" customFormat="1" ht="38.1" customHeight="1" outlineLevel="1" x14ac:dyDescent="0.2">
      <c r="A906" s="5" t="s">
        <v>340</v>
      </c>
      <c r="B906" s="5" t="s">
        <v>354</v>
      </c>
      <c r="C906" s="5" t="s">
        <v>962</v>
      </c>
      <c r="D906" s="5" t="s">
        <v>12</v>
      </c>
      <c r="E906" s="5" t="s">
        <v>13</v>
      </c>
      <c r="F906" s="5" t="s">
        <v>16</v>
      </c>
      <c r="G906" s="6">
        <v>25200</v>
      </c>
      <c r="H906" s="899" t="str">
        <f>HYPERLINK("https://adv-map.ru/place/?LINK=a65a85ad07d717ece0136114b858ceaf","Ссылка")</f>
        <v>Ссылка</v>
      </c>
      <c r="I906" s="5" t="s">
        <v>961</v>
      </c>
    </row>
    <row r="907" spans="1:9" s="4" customFormat="1" ht="38.1" customHeight="1" outlineLevel="1" x14ac:dyDescent="0.2">
      <c r="A907" s="5" t="s">
        <v>340</v>
      </c>
      <c r="B907" s="5" t="s">
        <v>652</v>
      </c>
      <c r="C907" s="5" t="s">
        <v>963</v>
      </c>
      <c r="D907" s="5" t="s">
        <v>347</v>
      </c>
      <c r="E907" s="5" t="s">
        <v>348</v>
      </c>
      <c r="F907" s="5" t="s">
        <v>14</v>
      </c>
      <c r="G907" s="6">
        <v>22680</v>
      </c>
      <c r="H907" s="900" t="str">
        <f>HYPERLINK("https://adv-map.ru/place/?LINK=7b681b74b7d2abaf353ad023ffc8ee53","Ссылка")</f>
        <v>Ссылка</v>
      </c>
      <c r="I907" s="5" t="s">
        <v>964</v>
      </c>
    </row>
    <row r="908" spans="1:9" s="4" customFormat="1" ht="38.1" customHeight="1" outlineLevel="1" x14ac:dyDescent="0.2">
      <c r="A908" s="5" t="s">
        <v>340</v>
      </c>
      <c r="B908" s="5" t="s">
        <v>652</v>
      </c>
      <c r="C908" s="5" t="s">
        <v>963</v>
      </c>
      <c r="D908" s="5" t="s">
        <v>347</v>
      </c>
      <c r="E908" s="5" t="s">
        <v>348</v>
      </c>
      <c r="F908" s="5" t="s">
        <v>16</v>
      </c>
      <c r="G908" s="6">
        <v>17640</v>
      </c>
      <c r="H908" s="901" t="str">
        <f>HYPERLINK("https://adv-map.ru/place/?LINK=d57f77438c60f670d69a8135308f0ff1","Ссылка")</f>
        <v>Ссылка</v>
      </c>
      <c r="I908" s="5" t="s">
        <v>964</v>
      </c>
    </row>
    <row r="909" spans="1:9" s="4" customFormat="1" ht="38.1" customHeight="1" outlineLevel="1" x14ac:dyDescent="0.2">
      <c r="A909" s="5" t="s">
        <v>340</v>
      </c>
      <c r="B909" s="5" t="s">
        <v>652</v>
      </c>
      <c r="C909" s="5" t="s">
        <v>965</v>
      </c>
      <c r="D909" s="5" t="s">
        <v>347</v>
      </c>
      <c r="E909" s="5" t="s">
        <v>348</v>
      </c>
      <c r="F909" s="5" t="s">
        <v>14</v>
      </c>
      <c r="G909" s="6">
        <v>22680</v>
      </c>
      <c r="H909" s="902" t="str">
        <f>HYPERLINK("https://adv-map.ru/place/?LINK=c115209935226119ac37d30197c61a84","Ссылка")</f>
        <v>Ссылка</v>
      </c>
      <c r="I909" s="5" t="s">
        <v>966</v>
      </c>
    </row>
    <row r="910" spans="1:9" s="4" customFormat="1" ht="38.1" customHeight="1" outlineLevel="1" x14ac:dyDescent="0.2">
      <c r="A910" s="5" t="s">
        <v>340</v>
      </c>
      <c r="B910" s="5" t="s">
        <v>652</v>
      </c>
      <c r="C910" s="5" t="s">
        <v>965</v>
      </c>
      <c r="D910" s="5" t="s">
        <v>347</v>
      </c>
      <c r="E910" s="5" t="s">
        <v>348</v>
      </c>
      <c r="F910" s="5" t="s">
        <v>16</v>
      </c>
      <c r="G910" s="6">
        <v>17640</v>
      </c>
      <c r="H910" s="903" t="str">
        <f>HYPERLINK("https://adv-map.ru/place/?LINK=ea398dac7512be9b75c66675410977fb","Ссылка")</f>
        <v>Ссылка</v>
      </c>
      <c r="I910" s="5" t="s">
        <v>966</v>
      </c>
    </row>
    <row r="911" spans="1:9" s="4" customFormat="1" ht="38.1" customHeight="1" outlineLevel="1" x14ac:dyDescent="0.2">
      <c r="A911" s="5" t="s">
        <v>340</v>
      </c>
      <c r="B911" s="5" t="s">
        <v>652</v>
      </c>
      <c r="C911" s="5" t="s">
        <v>967</v>
      </c>
      <c r="D911" s="5" t="s">
        <v>347</v>
      </c>
      <c r="E911" s="5" t="s">
        <v>348</v>
      </c>
      <c r="F911" s="5" t="s">
        <v>14</v>
      </c>
      <c r="G911" s="6">
        <v>22680</v>
      </c>
      <c r="H911" s="904" t="str">
        <f>HYPERLINK("https://adv-map.ru/place/?LINK=2b2b9b527adea0ae8eac8202b3af0d30","Ссылка")</f>
        <v>Ссылка</v>
      </c>
      <c r="I911" s="5" t="s">
        <v>968</v>
      </c>
    </row>
    <row r="912" spans="1:9" s="4" customFormat="1" ht="38.1" customHeight="1" outlineLevel="1" x14ac:dyDescent="0.2">
      <c r="A912" s="5" t="s">
        <v>340</v>
      </c>
      <c r="B912" s="5" t="s">
        <v>652</v>
      </c>
      <c r="C912" s="5" t="s">
        <v>967</v>
      </c>
      <c r="D912" s="5" t="s">
        <v>347</v>
      </c>
      <c r="E912" s="5" t="s">
        <v>348</v>
      </c>
      <c r="F912" s="5" t="s">
        <v>16</v>
      </c>
      <c r="G912" s="6">
        <v>17640</v>
      </c>
      <c r="H912" s="905" t="str">
        <f>HYPERLINK("https://adv-map.ru/place/?LINK=52fede3f9e98da902941e59327745d80","Ссылка")</f>
        <v>Ссылка</v>
      </c>
      <c r="I912" s="5" t="s">
        <v>968</v>
      </c>
    </row>
    <row r="913" spans="1:9" s="4" customFormat="1" ht="38.1" customHeight="1" outlineLevel="1" x14ac:dyDescent="0.2">
      <c r="A913" s="5" t="s">
        <v>340</v>
      </c>
      <c r="B913" s="5" t="s">
        <v>652</v>
      </c>
      <c r="C913" s="5" t="s">
        <v>969</v>
      </c>
      <c r="D913" s="5" t="s">
        <v>347</v>
      </c>
      <c r="E913" s="5" t="s">
        <v>348</v>
      </c>
      <c r="F913" s="5" t="s">
        <v>14</v>
      </c>
      <c r="G913" s="6">
        <v>22680</v>
      </c>
      <c r="H913" s="906" t="str">
        <f>HYPERLINK("https://adv-map.ru/place/?LINK=6ed6f56f715b7c6e2ce39fa2782c8247","Ссылка")</f>
        <v>Ссылка</v>
      </c>
      <c r="I913" s="5" t="s">
        <v>970</v>
      </c>
    </row>
    <row r="914" spans="1:9" s="4" customFormat="1" ht="38.1" customHeight="1" outlineLevel="1" x14ac:dyDescent="0.2">
      <c r="A914" s="5" t="s">
        <v>340</v>
      </c>
      <c r="B914" s="5" t="s">
        <v>652</v>
      </c>
      <c r="C914" s="5" t="s">
        <v>969</v>
      </c>
      <c r="D914" s="5" t="s">
        <v>347</v>
      </c>
      <c r="E914" s="5" t="s">
        <v>348</v>
      </c>
      <c r="F914" s="5" t="s">
        <v>16</v>
      </c>
      <c r="G914" s="6">
        <v>17640</v>
      </c>
      <c r="H914" s="907" t="str">
        <f>HYPERLINK("https://adv-map.ru/place/?LINK=aecf41d37b48dc9aaa58e73de94b0b94","Ссылка")</f>
        <v>Ссылка</v>
      </c>
      <c r="I914" s="5" t="s">
        <v>970</v>
      </c>
    </row>
    <row r="915" spans="1:9" s="4" customFormat="1" ht="38.1" customHeight="1" outlineLevel="1" x14ac:dyDescent="0.2">
      <c r="A915" s="5" t="s">
        <v>340</v>
      </c>
      <c r="B915" s="5" t="s">
        <v>546</v>
      </c>
      <c r="C915" s="5" t="s">
        <v>971</v>
      </c>
      <c r="D915" s="5" t="s">
        <v>347</v>
      </c>
      <c r="E915" s="5" t="s">
        <v>348</v>
      </c>
      <c r="F915" s="5" t="s">
        <v>14</v>
      </c>
      <c r="G915" s="6">
        <v>20160</v>
      </c>
      <c r="H915" s="908" t="str">
        <f>HYPERLINK("https://adv-map.ru/place/?LINK=f1be08cd2faddb393446fc190c755de3","Ссылка")</f>
        <v>Ссылка</v>
      </c>
      <c r="I915" s="5" t="s">
        <v>972</v>
      </c>
    </row>
    <row r="916" spans="1:9" s="4" customFormat="1" ht="38.1" customHeight="1" outlineLevel="1" x14ac:dyDescent="0.2">
      <c r="A916" s="5" t="s">
        <v>340</v>
      </c>
      <c r="B916" s="5" t="s">
        <v>546</v>
      </c>
      <c r="C916" s="5" t="s">
        <v>971</v>
      </c>
      <c r="D916" s="5" t="s">
        <v>347</v>
      </c>
      <c r="E916" s="5" t="s">
        <v>348</v>
      </c>
      <c r="F916" s="5" t="s">
        <v>16</v>
      </c>
      <c r="G916" s="6">
        <v>17640</v>
      </c>
      <c r="H916" s="909" t="str">
        <f>HYPERLINK("https://adv-map.ru/place/?LINK=e4c05b2fcda670dc889ea8381f2b316a","Ссылка")</f>
        <v>Ссылка</v>
      </c>
      <c r="I916" s="5" t="s">
        <v>972</v>
      </c>
    </row>
    <row r="917" spans="1:9" s="4" customFormat="1" ht="38.1" customHeight="1" outlineLevel="1" x14ac:dyDescent="0.2">
      <c r="A917" s="5" t="s">
        <v>340</v>
      </c>
      <c r="B917" s="5" t="s">
        <v>546</v>
      </c>
      <c r="C917" s="5" t="s">
        <v>973</v>
      </c>
      <c r="D917" s="5" t="s">
        <v>49</v>
      </c>
      <c r="E917" s="5" t="s">
        <v>13</v>
      </c>
      <c r="F917" s="5" t="s">
        <v>28</v>
      </c>
      <c r="G917" s="6">
        <v>42000</v>
      </c>
      <c r="H917" s="910" t="str">
        <f>HYPERLINK("https://adv-map.ru/place/?LINK=f8e4ab916cfe7c9a28f4aec2c05b6dfc","Ссылка")</f>
        <v>Ссылка</v>
      </c>
      <c r="I917" s="5" t="s">
        <v>974</v>
      </c>
    </row>
    <row r="918" spans="1:9" s="4" customFormat="1" ht="38.1" customHeight="1" outlineLevel="1" x14ac:dyDescent="0.2">
      <c r="A918" s="5" t="s">
        <v>340</v>
      </c>
      <c r="B918" s="5" t="s">
        <v>546</v>
      </c>
      <c r="C918" s="5" t="s">
        <v>973</v>
      </c>
      <c r="D918" s="5" t="s">
        <v>49</v>
      </c>
      <c r="E918" s="5" t="s">
        <v>13</v>
      </c>
      <c r="F918" s="5" t="s">
        <v>30</v>
      </c>
      <c r="G918" s="6">
        <v>42000</v>
      </c>
      <c r="H918" s="911" t="str">
        <f>HYPERLINK("https://adv-map.ru/place/?LINK=4bced5f6f7ef7050c1a7733a53fad5ea","Ссылка")</f>
        <v>Ссылка</v>
      </c>
      <c r="I918" s="5" t="s">
        <v>974</v>
      </c>
    </row>
    <row r="919" spans="1:9" s="4" customFormat="1" ht="38.1" customHeight="1" outlineLevel="1" x14ac:dyDescent="0.2">
      <c r="A919" s="5" t="s">
        <v>340</v>
      </c>
      <c r="B919" s="5" t="s">
        <v>546</v>
      </c>
      <c r="C919" s="5" t="s">
        <v>973</v>
      </c>
      <c r="D919" s="5" t="s">
        <v>49</v>
      </c>
      <c r="E919" s="5" t="s">
        <v>13</v>
      </c>
      <c r="F919" s="5" t="s">
        <v>31</v>
      </c>
      <c r="G919" s="6">
        <v>42000</v>
      </c>
      <c r="H919" s="912" t="str">
        <f>HYPERLINK("https://adv-map.ru/place/?LINK=3b37f10fa7d52ef8aad1edad4123df62","Ссылка")</f>
        <v>Ссылка</v>
      </c>
      <c r="I919" s="5" t="s">
        <v>974</v>
      </c>
    </row>
    <row r="920" spans="1:9" s="4" customFormat="1" ht="38.1" customHeight="1" outlineLevel="1" x14ac:dyDescent="0.2">
      <c r="A920" s="5" t="s">
        <v>340</v>
      </c>
      <c r="B920" s="5" t="s">
        <v>546</v>
      </c>
      <c r="C920" s="5" t="s">
        <v>973</v>
      </c>
      <c r="D920" s="5" t="s">
        <v>12</v>
      </c>
      <c r="E920" s="5" t="s">
        <v>13</v>
      </c>
      <c r="F920" s="5" t="s">
        <v>16</v>
      </c>
      <c r="G920" s="6">
        <v>34650</v>
      </c>
      <c r="H920" s="913" t="str">
        <f>HYPERLINK("https://adv-map.ru/place/?LINK=72c72770592b200d268cc4b31e4ed95b","Ссылка")</f>
        <v>Ссылка</v>
      </c>
      <c r="I920" s="5" t="s">
        <v>975</v>
      </c>
    </row>
    <row r="921" spans="1:9" s="4" customFormat="1" ht="38.1" customHeight="1" outlineLevel="1" x14ac:dyDescent="0.2">
      <c r="A921" s="5" t="s">
        <v>340</v>
      </c>
      <c r="B921" s="5" t="s">
        <v>546</v>
      </c>
      <c r="C921" s="5" t="s">
        <v>976</v>
      </c>
      <c r="D921" s="5" t="s">
        <v>347</v>
      </c>
      <c r="E921" s="5" t="s">
        <v>348</v>
      </c>
      <c r="F921" s="5" t="s">
        <v>14</v>
      </c>
      <c r="G921" s="6">
        <v>20160</v>
      </c>
      <c r="H921" s="914" t="str">
        <f>HYPERLINK("https://adv-map.ru/place/?LINK=c6704cac7a4632a19fdbe9f18a8cf293","Ссылка")</f>
        <v>Ссылка</v>
      </c>
      <c r="I921" s="5" t="s">
        <v>977</v>
      </c>
    </row>
    <row r="922" spans="1:9" s="4" customFormat="1" ht="38.1" customHeight="1" outlineLevel="1" x14ac:dyDescent="0.2">
      <c r="A922" s="5" t="s">
        <v>340</v>
      </c>
      <c r="B922" s="5" t="s">
        <v>546</v>
      </c>
      <c r="C922" s="5" t="s">
        <v>976</v>
      </c>
      <c r="D922" s="5" t="s">
        <v>347</v>
      </c>
      <c r="E922" s="5" t="s">
        <v>348</v>
      </c>
      <c r="F922" s="5" t="s">
        <v>16</v>
      </c>
      <c r="G922" s="6">
        <v>17640</v>
      </c>
      <c r="H922" s="915" t="str">
        <f>HYPERLINK("https://adv-map.ru/place/?LINK=091e05f7d15fae7b31a3ff9554d4a11c","Ссылка")</f>
        <v>Ссылка</v>
      </c>
      <c r="I922" s="5" t="s">
        <v>977</v>
      </c>
    </row>
    <row r="923" spans="1:9" s="4" customFormat="1" ht="38.1" customHeight="1" outlineLevel="1" x14ac:dyDescent="0.2">
      <c r="A923" s="5" t="s">
        <v>340</v>
      </c>
      <c r="B923" s="5" t="s">
        <v>134</v>
      </c>
      <c r="C923" s="5" t="s">
        <v>978</v>
      </c>
      <c r="D923" s="5" t="s">
        <v>413</v>
      </c>
      <c r="E923" s="5" t="s">
        <v>979</v>
      </c>
      <c r="F923" s="5" t="s">
        <v>28</v>
      </c>
      <c r="G923" s="6">
        <v>42000</v>
      </c>
      <c r="H923" s="916" t="str">
        <f>HYPERLINK("https://adv-map.ru/place/?LINK=4479f0e6e3822fe3b66e5d2f6b24ce2f","Ссылка")</f>
        <v>Ссылка</v>
      </c>
      <c r="I923" s="5" t="s">
        <v>980</v>
      </c>
    </row>
    <row r="924" spans="1:9" s="4" customFormat="1" ht="38.1" customHeight="1" outlineLevel="1" x14ac:dyDescent="0.2">
      <c r="A924" s="5" t="s">
        <v>340</v>
      </c>
      <c r="B924" s="5" t="s">
        <v>134</v>
      </c>
      <c r="C924" s="5" t="s">
        <v>978</v>
      </c>
      <c r="D924" s="5" t="s">
        <v>413</v>
      </c>
      <c r="E924" s="5" t="s">
        <v>979</v>
      </c>
      <c r="F924" s="5" t="s">
        <v>30</v>
      </c>
      <c r="G924" s="6">
        <v>42000</v>
      </c>
      <c r="H924" s="917" t="str">
        <f>HYPERLINK("https://adv-map.ru/place/?LINK=e635d5b12d4bbcdd3a8e7c2ac8fff3b9","Ссылка")</f>
        <v>Ссылка</v>
      </c>
      <c r="I924" s="5" t="s">
        <v>980</v>
      </c>
    </row>
    <row r="925" spans="1:9" s="4" customFormat="1" ht="38.1" customHeight="1" outlineLevel="1" x14ac:dyDescent="0.2">
      <c r="A925" s="5" t="s">
        <v>340</v>
      </c>
      <c r="B925" s="5" t="s">
        <v>134</v>
      </c>
      <c r="C925" s="5" t="s">
        <v>978</v>
      </c>
      <c r="D925" s="5" t="s">
        <v>413</v>
      </c>
      <c r="E925" s="5" t="s">
        <v>979</v>
      </c>
      <c r="F925" s="5" t="s">
        <v>31</v>
      </c>
      <c r="G925" s="6">
        <v>42000</v>
      </c>
      <c r="H925" s="918" t="str">
        <f>HYPERLINK("https://adv-map.ru/place/?LINK=994b6c79f5f12f9f3a638a70bf0ccb4f","Ссылка")</f>
        <v>Ссылка</v>
      </c>
      <c r="I925" s="5" t="s">
        <v>980</v>
      </c>
    </row>
    <row r="926" spans="1:9" s="4" customFormat="1" ht="38.1" customHeight="1" outlineLevel="1" x14ac:dyDescent="0.2">
      <c r="A926" s="5" t="s">
        <v>340</v>
      </c>
      <c r="B926" s="5" t="s">
        <v>134</v>
      </c>
      <c r="C926" s="5" t="s">
        <v>981</v>
      </c>
      <c r="D926" s="5" t="s">
        <v>43</v>
      </c>
      <c r="E926" s="5" t="s">
        <v>982</v>
      </c>
      <c r="F926" s="5" t="s">
        <v>16</v>
      </c>
      <c r="G926" s="6">
        <v>25200</v>
      </c>
      <c r="H926" s="919" t="str">
        <f>HYPERLINK("https://adv-map.ru/place/?LINK=819564203e226495ac9df8e4d17c51ee","Ссылка")</f>
        <v>Ссылка</v>
      </c>
      <c r="I926" s="5" t="s">
        <v>980</v>
      </c>
    </row>
    <row r="927" spans="1:9" s="4" customFormat="1" ht="38.1" customHeight="1" outlineLevel="1" x14ac:dyDescent="0.2">
      <c r="A927" s="5" t="s">
        <v>340</v>
      </c>
      <c r="B927" s="5" t="s">
        <v>134</v>
      </c>
      <c r="C927" s="5" t="s">
        <v>983</v>
      </c>
      <c r="D927" s="5" t="s">
        <v>413</v>
      </c>
      <c r="E927" s="5" t="s">
        <v>979</v>
      </c>
      <c r="F927" s="5" t="s">
        <v>28</v>
      </c>
      <c r="G927" s="6">
        <v>42000</v>
      </c>
      <c r="H927" s="920" t="str">
        <f>HYPERLINK("https://adv-map.ru/place/?LINK=3b082dfa2d47362a428dea840cdf4a07","Ссылка")</f>
        <v>Ссылка</v>
      </c>
      <c r="I927" s="5" t="s">
        <v>984</v>
      </c>
    </row>
    <row r="928" spans="1:9" s="4" customFormat="1" ht="38.1" customHeight="1" outlineLevel="1" x14ac:dyDescent="0.2">
      <c r="A928" s="5" t="s">
        <v>340</v>
      </c>
      <c r="B928" s="5" t="s">
        <v>134</v>
      </c>
      <c r="C928" s="5" t="s">
        <v>983</v>
      </c>
      <c r="D928" s="5" t="s">
        <v>413</v>
      </c>
      <c r="E928" s="5" t="s">
        <v>979</v>
      </c>
      <c r="F928" s="5" t="s">
        <v>30</v>
      </c>
      <c r="G928" s="6">
        <v>42000</v>
      </c>
      <c r="H928" s="921" t="str">
        <f>HYPERLINK("https://adv-map.ru/place/?LINK=f385658fdb7e0823faac0ed0a3e9a774","Ссылка")</f>
        <v>Ссылка</v>
      </c>
      <c r="I928" s="5" t="s">
        <v>984</v>
      </c>
    </row>
    <row r="929" spans="1:9" s="4" customFormat="1" ht="38.1" customHeight="1" outlineLevel="1" x14ac:dyDescent="0.2">
      <c r="A929" s="5" t="s">
        <v>340</v>
      </c>
      <c r="B929" s="5" t="s">
        <v>134</v>
      </c>
      <c r="C929" s="5" t="s">
        <v>983</v>
      </c>
      <c r="D929" s="5" t="s">
        <v>413</v>
      </c>
      <c r="E929" s="5" t="s">
        <v>979</v>
      </c>
      <c r="F929" s="5" t="s">
        <v>31</v>
      </c>
      <c r="G929" s="6">
        <v>42000</v>
      </c>
      <c r="H929" s="922" t="str">
        <f>HYPERLINK("https://adv-map.ru/place/?LINK=b42cd476d467eea56cf19eedf73d924d","Ссылка")</f>
        <v>Ссылка</v>
      </c>
      <c r="I929" s="5" t="s">
        <v>984</v>
      </c>
    </row>
    <row r="930" spans="1:9" s="4" customFormat="1" ht="38.1" customHeight="1" outlineLevel="1" x14ac:dyDescent="0.2">
      <c r="A930" s="5" t="s">
        <v>340</v>
      </c>
      <c r="B930" s="5" t="s">
        <v>134</v>
      </c>
      <c r="C930" s="5" t="s">
        <v>985</v>
      </c>
      <c r="D930" s="5" t="s">
        <v>43</v>
      </c>
      <c r="E930" s="5" t="s">
        <v>986</v>
      </c>
      <c r="F930" s="5" t="s">
        <v>16</v>
      </c>
      <c r="G930" s="6">
        <v>31500</v>
      </c>
      <c r="H930" s="923" t="str">
        <f>HYPERLINK("https://adv-map.ru/place/?LINK=d9f3b6c407ff02d62452d900d1c69400","Ссылка")</f>
        <v>Ссылка</v>
      </c>
      <c r="I930" s="5" t="s">
        <v>984</v>
      </c>
    </row>
    <row r="931" spans="1:9" s="4" customFormat="1" ht="38.1" customHeight="1" outlineLevel="1" x14ac:dyDescent="0.2">
      <c r="A931" s="5" t="s">
        <v>340</v>
      </c>
      <c r="B931" s="5" t="s">
        <v>134</v>
      </c>
      <c r="C931" s="5" t="s">
        <v>987</v>
      </c>
      <c r="D931" s="5" t="s">
        <v>43</v>
      </c>
      <c r="E931" s="5" t="s">
        <v>504</v>
      </c>
      <c r="F931" s="5" t="s">
        <v>14</v>
      </c>
      <c r="G931" s="6">
        <v>44100</v>
      </c>
      <c r="H931" s="924" t="str">
        <f>HYPERLINK("https://adv-map.ru/place/?LINK=e15f2e16e16f7cb62ea4d184a58e326e","Ссылка")</f>
        <v>Ссылка</v>
      </c>
      <c r="I931" s="5" t="s">
        <v>988</v>
      </c>
    </row>
    <row r="932" spans="1:9" s="4" customFormat="1" ht="38.1" customHeight="1" outlineLevel="1" x14ac:dyDescent="0.2">
      <c r="A932" s="5" t="s">
        <v>340</v>
      </c>
      <c r="B932" s="5" t="s">
        <v>134</v>
      </c>
      <c r="C932" s="5" t="s">
        <v>987</v>
      </c>
      <c r="D932" s="5" t="s">
        <v>43</v>
      </c>
      <c r="E932" s="5" t="s">
        <v>504</v>
      </c>
      <c r="F932" s="5" t="s">
        <v>16</v>
      </c>
      <c r="G932" s="6">
        <v>31500</v>
      </c>
      <c r="H932" s="925" t="str">
        <f>HYPERLINK("https://adv-map.ru/place/?LINK=4c95af9ed7fa6b85bc3e4bd46130601f","Ссылка")</f>
        <v>Ссылка</v>
      </c>
      <c r="I932" s="5" t="s">
        <v>988</v>
      </c>
    </row>
    <row r="933" spans="1:9" s="4" customFormat="1" ht="38.1" customHeight="1" outlineLevel="1" x14ac:dyDescent="0.2">
      <c r="A933" s="5" t="s">
        <v>340</v>
      </c>
      <c r="B933" s="5" t="s">
        <v>345</v>
      </c>
      <c r="C933" s="5" t="s">
        <v>989</v>
      </c>
      <c r="D933" s="5" t="s">
        <v>347</v>
      </c>
      <c r="E933" s="5" t="s">
        <v>348</v>
      </c>
      <c r="F933" s="5" t="s">
        <v>14</v>
      </c>
      <c r="G933" s="6">
        <v>25200</v>
      </c>
      <c r="H933" s="926" t="str">
        <f>HYPERLINK("https://adv-map.ru/place/?LINK=ae31a41f956e68ddcb13ed8afc6c52f2","Ссылка")</f>
        <v>Ссылка</v>
      </c>
      <c r="I933" s="5" t="s">
        <v>990</v>
      </c>
    </row>
    <row r="934" spans="1:9" s="4" customFormat="1" ht="38.1" customHeight="1" outlineLevel="1" x14ac:dyDescent="0.2">
      <c r="A934" s="5" t="s">
        <v>340</v>
      </c>
      <c r="B934" s="5" t="s">
        <v>345</v>
      </c>
      <c r="C934" s="5" t="s">
        <v>989</v>
      </c>
      <c r="D934" s="5" t="s">
        <v>347</v>
      </c>
      <c r="E934" s="5" t="s">
        <v>348</v>
      </c>
      <c r="F934" s="5" t="s">
        <v>16</v>
      </c>
      <c r="G934" s="6">
        <v>20160</v>
      </c>
      <c r="H934" s="927" t="str">
        <f>HYPERLINK("https://adv-map.ru/place/?LINK=c09cad9391eef066edac4b189fe0d184","Ссылка")</f>
        <v>Ссылка</v>
      </c>
      <c r="I934" s="5" t="s">
        <v>990</v>
      </c>
    </row>
    <row r="935" spans="1:9" s="4" customFormat="1" ht="38.1" customHeight="1" outlineLevel="1" x14ac:dyDescent="0.2">
      <c r="A935" s="5" t="s">
        <v>340</v>
      </c>
      <c r="B935" s="5" t="s">
        <v>345</v>
      </c>
      <c r="C935" s="5" t="s">
        <v>991</v>
      </c>
      <c r="D935" s="5" t="s">
        <v>347</v>
      </c>
      <c r="E935" s="5" t="s">
        <v>348</v>
      </c>
      <c r="F935" s="5" t="s">
        <v>14</v>
      </c>
      <c r="G935" s="6">
        <v>25200</v>
      </c>
      <c r="H935" s="928" t="str">
        <f>HYPERLINK("https://adv-map.ru/place/?LINK=95a43f99187fcac6ada23abb44ac9543","Ссылка")</f>
        <v>Ссылка</v>
      </c>
      <c r="I935" s="5" t="s">
        <v>992</v>
      </c>
    </row>
    <row r="936" spans="1:9" s="4" customFormat="1" ht="38.1" customHeight="1" outlineLevel="1" x14ac:dyDescent="0.2">
      <c r="A936" s="5" t="s">
        <v>340</v>
      </c>
      <c r="B936" s="5" t="s">
        <v>345</v>
      </c>
      <c r="C936" s="5" t="s">
        <v>991</v>
      </c>
      <c r="D936" s="5" t="s">
        <v>347</v>
      </c>
      <c r="E936" s="5" t="s">
        <v>348</v>
      </c>
      <c r="F936" s="5" t="s">
        <v>16</v>
      </c>
      <c r="G936" s="6">
        <v>20160</v>
      </c>
      <c r="H936" s="929" t="str">
        <f>HYPERLINK("https://adv-map.ru/place/?LINK=14c20bbb895010967f201b00a74cb83b","Ссылка")</f>
        <v>Ссылка</v>
      </c>
      <c r="I936" s="5" t="s">
        <v>992</v>
      </c>
    </row>
    <row r="937" spans="1:9" s="4" customFormat="1" ht="38.1" customHeight="1" outlineLevel="1" x14ac:dyDescent="0.2">
      <c r="A937" s="5" t="s">
        <v>340</v>
      </c>
      <c r="B937" s="5" t="s">
        <v>345</v>
      </c>
      <c r="C937" s="5" t="s">
        <v>993</v>
      </c>
      <c r="D937" s="5" t="s">
        <v>347</v>
      </c>
      <c r="E937" s="5" t="s">
        <v>348</v>
      </c>
      <c r="F937" s="5" t="s">
        <v>14</v>
      </c>
      <c r="G937" s="6">
        <v>22680</v>
      </c>
      <c r="H937" s="930" t="str">
        <f>HYPERLINK("https://adv-map.ru/place/?LINK=e71f70d29c8c3715c3632afaf5ea0787","Ссылка")</f>
        <v>Ссылка</v>
      </c>
      <c r="I937" s="5" t="s">
        <v>994</v>
      </c>
    </row>
    <row r="938" spans="1:9" s="4" customFormat="1" ht="38.1" customHeight="1" outlineLevel="1" x14ac:dyDescent="0.2">
      <c r="A938" s="5" t="s">
        <v>340</v>
      </c>
      <c r="B938" s="5" t="s">
        <v>345</v>
      </c>
      <c r="C938" s="5" t="s">
        <v>993</v>
      </c>
      <c r="D938" s="5" t="s">
        <v>347</v>
      </c>
      <c r="E938" s="5" t="s">
        <v>348</v>
      </c>
      <c r="F938" s="5" t="s">
        <v>16</v>
      </c>
      <c r="G938" s="6">
        <v>17640</v>
      </c>
      <c r="H938" s="931" t="str">
        <f>HYPERLINK("https://adv-map.ru/place/?LINK=ac8f8e2568a1ea9de404a4f33e6129c7","Ссылка")</f>
        <v>Ссылка</v>
      </c>
      <c r="I938" s="5" t="s">
        <v>994</v>
      </c>
    </row>
    <row r="939" spans="1:9" s="4" customFormat="1" ht="38.1" customHeight="1" outlineLevel="1" x14ac:dyDescent="0.2">
      <c r="A939" s="5" t="s">
        <v>340</v>
      </c>
      <c r="B939" s="5" t="s">
        <v>652</v>
      </c>
      <c r="C939" s="5" t="s">
        <v>995</v>
      </c>
      <c r="D939" s="5" t="s">
        <v>12</v>
      </c>
      <c r="E939" s="5" t="s">
        <v>13</v>
      </c>
      <c r="F939" s="5" t="s">
        <v>14</v>
      </c>
      <c r="G939" s="6">
        <v>37800</v>
      </c>
      <c r="H939" s="932" t="str">
        <f>HYPERLINK("https://adv-map.ru/place/?LINK=8c22bb193c5b0f86a2b4c9289936114d","Ссылка")</f>
        <v>Ссылка</v>
      </c>
      <c r="I939" s="5" t="s">
        <v>996</v>
      </c>
    </row>
    <row r="940" spans="1:9" s="4" customFormat="1" ht="38.1" customHeight="1" outlineLevel="1" x14ac:dyDescent="0.2">
      <c r="A940" s="5" t="s">
        <v>340</v>
      </c>
      <c r="B940" s="5" t="s">
        <v>652</v>
      </c>
      <c r="C940" s="5" t="s">
        <v>995</v>
      </c>
      <c r="D940" s="5" t="s">
        <v>12</v>
      </c>
      <c r="E940" s="5" t="s">
        <v>13</v>
      </c>
      <c r="F940" s="5" t="s">
        <v>16</v>
      </c>
      <c r="G940" s="6">
        <v>30240</v>
      </c>
      <c r="H940" s="933" t="str">
        <f>HYPERLINK("https://adv-map.ru/place/?LINK=4aeb46f48c0476206e723e1edfed986e","Ссылка")</f>
        <v>Ссылка</v>
      </c>
      <c r="I940" s="5" t="s">
        <v>996</v>
      </c>
    </row>
    <row r="941" spans="1:9" s="4" customFormat="1" ht="38.1" customHeight="1" outlineLevel="1" x14ac:dyDescent="0.2">
      <c r="A941" s="5" t="s">
        <v>340</v>
      </c>
      <c r="B941" s="5" t="s">
        <v>652</v>
      </c>
      <c r="C941" s="5" t="s">
        <v>997</v>
      </c>
      <c r="D941" s="5" t="s">
        <v>12</v>
      </c>
      <c r="E941" s="5" t="s">
        <v>13</v>
      </c>
      <c r="F941" s="5" t="s">
        <v>14</v>
      </c>
      <c r="G941" s="6">
        <v>37800</v>
      </c>
      <c r="H941" s="934" t="str">
        <f>HYPERLINK("https://adv-map.ru/place/?LINK=319c72ed27f15c82137737fc56efa4c1","Ссылка")</f>
        <v>Ссылка</v>
      </c>
      <c r="I941" s="5" t="s">
        <v>998</v>
      </c>
    </row>
    <row r="942" spans="1:9" s="4" customFormat="1" ht="38.1" customHeight="1" outlineLevel="1" x14ac:dyDescent="0.2">
      <c r="A942" s="5" t="s">
        <v>340</v>
      </c>
      <c r="B942" s="5" t="s">
        <v>652</v>
      </c>
      <c r="C942" s="5" t="s">
        <v>997</v>
      </c>
      <c r="D942" s="5" t="s">
        <v>12</v>
      </c>
      <c r="E942" s="5" t="s">
        <v>13</v>
      </c>
      <c r="F942" s="5" t="s">
        <v>16</v>
      </c>
      <c r="G942" s="6">
        <v>30240</v>
      </c>
      <c r="H942" s="935" t="str">
        <f>HYPERLINK("https://adv-map.ru/place/?LINK=08b793b4f3ed26e681a8718941b526c5","Ссылка")</f>
        <v>Ссылка</v>
      </c>
      <c r="I942" s="5" t="s">
        <v>998</v>
      </c>
    </row>
    <row r="943" spans="1:9" s="4" customFormat="1" ht="38.1" customHeight="1" outlineLevel="1" x14ac:dyDescent="0.2">
      <c r="A943" s="5" t="s">
        <v>340</v>
      </c>
      <c r="B943" s="5" t="s">
        <v>652</v>
      </c>
      <c r="C943" s="5" t="s">
        <v>999</v>
      </c>
      <c r="D943" s="5" t="s">
        <v>12</v>
      </c>
      <c r="E943" s="5" t="s">
        <v>13</v>
      </c>
      <c r="F943" s="5" t="s">
        <v>14</v>
      </c>
      <c r="G943" s="6">
        <v>37800</v>
      </c>
      <c r="H943" s="936" t="str">
        <f>HYPERLINK("https://adv-map.ru/place/?LINK=8ebd0b3ba304493076f9fc6d33729e75","Ссылка")</f>
        <v>Ссылка</v>
      </c>
      <c r="I943" s="5" t="s">
        <v>1000</v>
      </c>
    </row>
    <row r="944" spans="1:9" s="4" customFormat="1" ht="38.1" customHeight="1" outlineLevel="1" x14ac:dyDescent="0.2">
      <c r="A944" s="5" t="s">
        <v>340</v>
      </c>
      <c r="B944" s="5" t="s">
        <v>652</v>
      </c>
      <c r="C944" s="5" t="s">
        <v>999</v>
      </c>
      <c r="D944" s="5" t="s">
        <v>12</v>
      </c>
      <c r="E944" s="5" t="s">
        <v>13</v>
      </c>
      <c r="F944" s="5" t="s">
        <v>16</v>
      </c>
      <c r="G944" s="6">
        <v>30240</v>
      </c>
      <c r="H944" s="937" t="str">
        <f>HYPERLINK("https://adv-map.ru/place/?LINK=800a85587a08b0385db36ceaa6746480","Ссылка")</f>
        <v>Ссылка</v>
      </c>
      <c r="I944" s="5" t="s">
        <v>1000</v>
      </c>
    </row>
    <row r="945" spans="1:9" s="4" customFormat="1" ht="38.1" customHeight="1" outlineLevel="1" x14ac:dyDescent="0.2">
      <c r="A945" s="5" t="s">
        <v>340</v>
      </c>
      <c r="B945" s="5" t="s">
        <v>345</v>
      </c>
      <c r="C945" s="5" t="s">
        <v>1001</v>
      </c>
      <c r="D945" s="5" t="s">
        <v>12</v>
      </c>
      <c r="E945" s="5" t="s">
        <v>13</v>
      </c>
      <c r="F945" s="5" t="s">
        <v>14</v>
      </c>
      <c r="G945" s="6">
        <v>37800</v>
      </c>
      <c r="H945" s="938" t="str">
        <f>HYPERLINK("https://adv-map.ru/place/?LINK=a588340f53c6129fcc29e2904773c510","Ссылка")</f>
        <v>Ссылка</v>
      </c>
      <c r="I945" s="5" t="s">
        <v>1002</v>
      </c>
    </row>
    <row r="946" spans="1:9" s="4" customFormat="1" ht="38.1" customHeight="1" outlineLevel="1" x14ac:dyDescent="0.2">
      <c r="A946" s="5" t="s">
        <v>340</v>
      </c>
      <c r="B946" s="5" t="s">
        <v>345</v>
      </c>
      <c r="C946" s="5" t="s">
        <v>1001</v>
      </c>
      <c r="D946" s="5" t="s">
        <v>12</v>
      </c>
      <c r="E946" s="5" t="s">
        <v>13</v>
      </c>
      <c r="F946" s="5" t="s">
        <v>16</v>
      </c>
      <c r="G946" s="6">
        <v>34650</v>
      </c>
      <c r="H946" s="939" t="str">
        <f>HYPERLINK("https://adv-map.ru/place/?LINK=e4659978d365a1c0ebf3e3e3106c2c7b","Ссылка")</f>
        <v>Ссылка</v>
      </c>
      <c r="I946" s="5" t="s">
        <v>1002</v>
      </c>
    </row>
    <row r="947" spans="1:9" s="4" customFormat="1" ht="38.1" customHeight="1" outlineLevel="1" x14ac:dyDescent="0.2">
      <c r="A947" s="5" t="s">
        <v>340</v>
      </c>
      <c r="B947" s="5" t="s">
        <v>345</v>
      </c>
      <c r="C947" s="5" t="s">
        <v>1003</v>
      </c>
      <c r="D947" s="5" t="s">
        <v>347</v>
      </c>
      <c r="E947" s="5" t="s">
        <v>348</v>
      </c>
      <c r="F947" s="5" t="s">
        <v>14</v>
      </c>
      <c r="G947" s="6">
        <v>25200</v>
      </c>
      <c r="H947" s="940" t="str">
        <f>HYPERLINK("https://adv-map.ru/place/?LINK=100d07d46b17f375f34d5912f9338937","Ссылка")</f>
        <v>Ссылка</v>
      </c>
      <c r="I947" s="5" t="s">
        <v>1004</v>
      </c>
    </row>
    <row r="948" spans="1:9" s="4" customFormat="1" ht="38.1" customHeight="1" outlineLevel="1" x14ac:dyDescent="0.2">
      <c r="A948" s="5" t="s">
        <v>340</v>
      </c>
      <c r="B948" s="5" t="s">
        <v>345</v>
      </c>
      <c r="C948" s="5" t="s">
        <v>1003</v>
      </c>
      <c r="D948" s="5" t="s">
        <v>347</v>
      </c>
      <c r="E948" s="5" t="s">
        <v>348</v>
      </c>
      <c r="F948" s="5" t="s">
        <v>16</v>
      </c>
      <c r="G948" s="6">
        <v>20160</v>
      </c>
      <c r="H948" s="941" t="str">
        <f>HYPERLINK("https://adv-map.ru/place/?LINK=b3edfad81fcce29a4244416b79bb4c41","Ссылка")</f>
        <v>Ссылка</v>
      </c>
      <c r="I948" s="5" t="s">
        <v>1004</v>
      </c>
    </row>
    <row r="949" spans="1:9" s="4" customFormat="1" ht="38.1" customHeight="1" outlineLevel="1" x14ac:dyDescent="0.2">
      <c r="A949" s="5" t="s">
        <v>340</v>
      </c>
      <c r="B949" s="5" t="s">
        <v>345</v>
      </c>
      <c r="C949" s="5" t="s">
        <v>1005</v>
      </c>
      <c r="D949" s="5" t="s">
        <v>347</v>
      </c>
      <c r="E949" s="5" t="s">
        <v>348</v>
      </c>
      <c r="F949" s="5" t="s">
        <v>14</v>
      </c>
      <c r="G949" s="6">
        <v>25200</v>
      </c>
      <c r="H949" s="942" t="str">
        <f>HYPERLINK("https://adv-map.ru/place/?LINK=7b8d5f6208d3b94cbda1e3adbe65665e","Ссылка")</f>
        <v>Ссылка</v>
      </c>
      <c r="I949" s="5" t="s">
        <v>1006</v>
      </c>
    </row>
    <row r="950" spans="1:9" s="4" customFormat="1" ht="38.1" customHeight="1" outlineLevel="1" x14ac:dyDescent="0.2">
      <c r="A950" s="5" t="s">
        <v>340</v>
      </c>
      <c r="B950" s="5" t="s">
        <v>345</v>
      </c>
      <c r="C950" s="5" t="s">
        <v>1005</v>
      </c>
      <c r="D950" s="5" t="s">
        <v>347</v>
      </c>
      <c r="E950" s="5" t="s">
        <v>348</v>
      </c>
      <c r="F950" s="5" t="s">
        <v>16</v>
      </c>
      <c r="G950" s="6">
        <v>20160</v>
      </c>
      <c r="H950" s="943" t="str">
        <f>HYPERLINK("https://adv-map.ru/place/?LINK=1189cc8c92f57cb8aac5e215c781ce32","Ссылка")</f>
        <v>Ссылка</v>
      </c>
      <c r="I950" s="5" t="s">
        <v>1006</v>
      </c>
    </row>
    <row r="951" spans="1:9" s="4" customFormat="1" ht="38.1" customHeight="1" outlineLevel="1" x14ac:dyDescent="0.2">
      <c r="A951" s="5" t="s">
        <v>340</v>
      </c>
      <c r="B951" s="5" t="s">
        <v>345</v>
      </c>
      <c r="C951" s="5" t="s">
        <v>1007</v>
      </c>
      <c r="D951" s="5" t="s">
        <v>347</v>
      </c>
      <c r="E951" s="5" t="s">
        <v>348</v>
      </c>
      <c r="F951" s="5" t="s">
        <v>14</v>
      </c>
      <c r="G951" s="6">
        <v>25200</v>
      </c>
      <c r="H951" s="944" t="str">
        <f>HYPERLINK("https://adv-map.ru/place/?LINK=5622fd8d06ad1b60d97e2fed9c8936fc","Ссылка")</f>
        <v>Ссылка</v>
      </c>
      <c r="I951" s="5" t="s">
        <v>1008</v>
      </c>
    </row>
    <row r="952" spans="1:9" s="4" customFormat="1" ht="38.1" customHeight="1" outlineLevel="1" x14ac:dyDescent="0.2">
      <c r="A952" s="5" t="s">
        <v>340</v>
      </c>
      <c r="B952" s="5" t="s">
        <v>345</v>
      </c>
      <c r="C952" s="5" t="s">
        <v>1007</v>
      </c>
      <c r="D952" s="5" t="s">
        <v>347</v>
      </c>
      <c r="E952" s="5" t="s">
        <v>348</v>
      </c>
      <c r="F952" s="5" t="s">
        <v>16</v>
      </c>
      <c r="G952" s="6">
        <v>20160</v>
      </c>
      <c r="H952" s="945" t="str">
        <f>HYPERLINK("https://adv-map.ru/place/?LINK=c0bc5813a64c726f1ff9ad1a974d3217","Ссылка")</f>
        <v>Ссылка</v>
      </c>
      <c r="I952" s="5" t="s">
        <v>1008</v>
      </c>
    </row>
    <row r="953" spans="1:9" s="4" customFormat="1" ht="38.1" customHeight="1" outlineLevel="1" x14ac:dyDescent="0.2">
      <c r="A953" s="5" t="s">
        <v>340</v>
      </c>
      <c r="B953" s="5" t="s">
        <v>345</v>
      </c>
      <c r="C953" s="5" t="s">
        <v>1009</v>
      </c>
      <c r="D953" s="5" t="s">
        <v>464</v>
      </c>
      <c r="E953" s="5" t="s">
        <v>13</v>
      </c>
      <c r="F953" s="5" t="s">
        <v>28</v>
      </c>
      <c r="G953" s="6">
        <v>57750</v>
      </c>
      <c r="H953" s="946" t="str">
        <f>HYPERLINK("https://adv-map.ru/place/?LINK=9067cbb249a1e97b0118d1fc4f830d46","Ссылка")</f>
        <v>Ссылка</v>
      </c>
      <c r="I953" s="5" t="s">
        <v>1010</v>
      </c>
    </row>
    <row r="954" spans="1:9" s="4" customFormat="1" ht="38.1" customHeight="1" outlineLevel="1" x14ac:dyDescent="0.2">
      <c r="A954" s="5" t="s">
        <v>340</v>
      </c>
      <c r="B954" s="5" t="s">
        <v>345</v>
      </c>
      <c r="C954" s="5" t="s">
        <v>1009</v>
      </c>
      <c r="D954" s="5" t="s">
        <v>464</v>
      </c>
      <c r="E954" s="5" t="s">
        <v>13</v>
      </c>
      <c r="F954" s="5" t="s">
        <v>466</v>
      </c>
      <c r="G954" s="6">
        <v>57750</v>
      </c>
      <c r="H954" s="947" t="str">
        <f>HYPERLINK("https://adv-map.ru/place/?LINK=fbe8d43cd3644c00382c6b13b1b99cb5","Ссылка")</f>
        <v>Ссылка</v>
      </c>
      <c r="I954" s="5" t="s">
        <v>1010</v>
      </c>
    </row>
    <row r="955" spans="1:9" s="4" customFormat="1" ht="51" customHeight="1" outlineLevel="1" x14ac:dyDescent="0.2">
      <c r="A955" s="5" t="s">
        <v>340</v>
      </c>
      <c r="B955" s="5" t="s">
        <v>345</v>
      </c>
      <c r="C955" s="5" t="s">
        <v>1009</v>
      </c>
      <c r="D955" s="5" t="s">
        <v>464</v>
      </c>
      <c r="E955" s="5" t="s">
        <v>13</v>
      </c>
      <c r="F955" s="5" t="s">
        <v>467</v>
      </c>
      <c r="G955" s="6">
        <v>57750</v>
      </c>
      <c r="H955" s="948" t="str">
        <f>HYPERLINK("https://adv-map.ru/place/?LINK=9c261ea34be9d8ea0a427512433d53d7","Ссылка")</f>
        <v>Ссылка</v>
      </c>
      <c r="I955" s="5" t="s">
        <v>1010</v>
      </c>
    </row>
    <row r="956" spans="1:9" s="4" customFormat="1" ht="38.1" customHeight="1" outlineLevel="1" x14ac:dyDescent="0.2">
      <c r="A956" s="5" t="s">
        <v>340</v>
      </c>
      <c r="B956" s="5" t="s">
        <v>345</v>
      </c>
      <c r="C956" s="5" t="s">
        <v>1009</v>
      </c>
      <c r="D956" s="5" t="s">
        <v>464</v>
      </c>
      <c r="E956" s="5" t="s">
        <v>13</v>
      </c>
      <c r="F956" s="5" t="s">
        <v>468</v>
      </c>
      <c r="G956" s="6">
        <v>57750</v>
      </c>
      <c r="H956" s="949" t="str">
        <f>HYPERLINK("https://adv-map.ru/place/?LINK=46f44218db3888c87055dbc2ce5b8455","Ссылка")</f>
        <v>Ссылка</v>
      </c>
      <c r="I956" s="5" t="s">
        <v>1010</v>
      </c>
    </row>
    <row r="957" spans="1:9" s="4" customFormat="1" ht="38.1" customHeight="1" outlineLevel="1" x14ac:dyDescent="0.2">
      <c r="A957" s="5" t="s">
        <v>340</v>
      </c>
      <c r="B957" s="5" t="s">
        <v>345</v>
      </c>
      <c r="C957" s="5" t="s">
        <v>1009</v>
      </c>
      <c r="D957" s="5" t="s">
        <v>464</v>
      </c>
      <c r="E957" s="5" t="s">
        <v>13</v>
      </c>
      <c r="F957" s="5" t="s">
        <v>30</v>
      </c>
      <c r="G957" s="6">
        <v>57750</v>
      </c>
      <c r="H957" s="950" t="str">
        <f>HYPERLINK("https://adv-map.ru/place/?LINK=ebea524eaa63e978f661fc68c429daa8","Ссылка")</f>
        <v>Ссылка</v>
      </c>
      <c r="I957" s="5" t="s">
        <v>1010</v>
      </c>
    </row>
    <row r="958" spans="1:9" s="4" customFormat="1" ht="38.1" customHeight="1" outlineLevel="1" x14ac:dyDescent="0.2">
      <c r="A958" s="5" t="s">
        <v>340</v>
      </c>
      <c r="B958" s="5" t="s">
        <v>345</v>
      </c>
      <c r="C958" s="5" t="s">
        <v>1009</v>
      </c>
      <c r="D958" s="5" t="s">
        <v>464</v>
      </c>
      <c r="E958" s="5" t="s">
        <v>13</v>
      </c>
      <c r="F958" s="5" t="s">
        <v>31</v>
      </c>
      <c r="G958" s="6">
        <v>57750</v>
      </c>
      <c r="H958" s="951" t="str">
        <f>HYPERLINK("https://adv-map.ru/place/?LINK=120420e6517d1c41d19f3104b4326f2a","Ссылка")</f>
        <v>Ссылка</v>
      </c>
      <c r="I958" s="5" t="s">
        <v>1010</v>
      </c>
    </row>
    <row r="959" spans="1:9" s="4" customFormat="1" ht="38.1" customHeight="1" outlineLevel="1" x14ac:dyDescent="0.2">
      <c r="A959" s="5" t="s">
        <v>340</v>
      </c>
      <c r="B959" s="5" t="s">
        <v>345</v>
      </c>
      <c r="C959" s="5" t="s">
        <v>1009</v>
      </c>
      <c r="D959" s="5" t="s">
        <v>464</v>
      </c>
      <c r="E959" s="5" t="s">
        <v>13</v>
      </c>
      <c r="F959" s="5" t="s">
        <v>32</v>
      </c>
      <c r="G959" s="6">
        <v>57750</v>
      </c>
      <c r="H959" s="952" t="str">
        <f>HYPERLINK("https://adv-map.ru/place/?LINK=77ecf09a1549264dfd2cb34a5d8fa5c1","Ссылка")</f>
        <v>Ссылка</v>
      </c>
      <c r="I959" s="5" t="s">
        <v>1010</v>
      </c>
    </row>
    <row r="960" spans="1:9" s="4" customFormat="1" ht="38.1" customHeight="1" outlineLevel="1" x14ac:dyDescent="0.2">
      <c r="A960" s="5" t="s">
        <v>340</v>
      </c>
      <c r="B960" s="5" t="s">
        <v>345</v>
      </c>
      <c r="C960" s="5" t="s">
        <v>1009</v>
      </c>
      <c r="D960" s="5" t="s">
        <v>464</v>
      </c>
      <c r="E960" s="5" t="s">
        <v>13</v>
      </c>
      <c r="F960" s="5" t="s">
        <v>469</v>
      </c>
      <c r="G960" s="6">
        <v>57750</v>
      </c>
      <c r="H960" s="953" t="str">
        <f>HYPERLINK("https://adv-map.ru/place/?LINK=b31144321b391aed827619093ea0d7c2","Ссылка")</f>
        <v>Ссылка</v>
      </c>
      <c r="I960" s="5" t="s">
        <v>1010</v>
      </c>
    </row>
    <row r="961" spans="1:9" s="4" customFormat="1" ht="38.1" customHeight="1" outlineLevel="1" x14ac:dyDescent="0.2">
      <c r="A961" s="5" t="s">
        <v>340</v>
      </c>
      <c r="B961" s="5" t="s">
        <v>345</v>
      </c>
      <c r="C961" s="5" t="s">
        <v>1009</v>
      </c>
      <c r="D961" s="5" t="s">
        <v>464</v>
      </c>
      <c r="E961" s="5" t="s">
        <v>13</v>
      </c>
      <c r="F961" s="5" t="s">
        <v>470</v>
      </c>
      <c r="G961" s="6">
        <v>57750</v>
      </c>
      <c r="H961" s="954" t="str">
        <f>HYPERLINK("https://adv-map.ru/place/?LINK=576a887cc2f3a4ea36d594f872b80c13","Ссылка")</f>
        <v>Ссылка</v>
      </c>
      <c r="I961" s="5" t="s">
        <v>1010</v>
      </c>
    </row>
    <row r="962" spans="1:9" s="4" customFormat="1" ht="38.1" customHeight="1" outlineLevel="1" x14ac:dyDescent="0.2">
      <c r="A962" s="5" t="s">
        <v>340</v>
      </c>
      <c r="B962" s="5" t="s">
        <v>345</v>
      </c>
      <c r="C962" s="5" t="s">
        <v>1009</v>
      </c>
      <c r="D962" s="5" t="s">
        <v>464</v>
      </c>
      <c r="E962" s="5" t="s">
        <v>13</v>
      </c>
      <c r="F962" s="5" t="s">
        <v>471</v>
      </c>
      <c r="G962" s="6">
        <v>57750</v>
      </c>
      <c r="H962" s="955" t="str">
        <f>HYPERLINK("https://adv-map.ru/place/?LINK=d906eebda556178f757decd011d4657c","Ссылка")</f>
        <v>Ссылка</v>
      </c>
      <c r="I962" s="5" t="s">
        <v>1010</v>
      </c>
    </row>
    <row r="963" spans="1:9" s="4" customFormat="1" ht="38.1" customHeight="1" outlineLevel="1" x14ac:dyDescent="0.2">
      <c r="A963" s="5" t="s">
        <v>340</v>
      </c>
      <c r="B963" s="5" t="s">
        <v>345</v>
      </c>
      <c r="C963" s="5" t="s">
        <v>1009</v>
      </c>
      <c r="D963" s="5" t="s">
        <v>464</v>
      </c>
      <c r="E963" s="5" t="s">
        <v>13</v>
      </c>
      <c r="F963" s="5" t="s">
        <v>472</v>
      </c>
      <c r="G963" s="6">
        <v>57750</v>
      </c>
      <c r="H963" s="956" t="str">
        <f>HYPERLINK("https://adv-map.ru/place/?LINK=2d6bce97517f03ac5a68bc17a8715367","Ссылка")</f>
        <v>Ссылка</v>
      </c>
      <c r="I963" s="5" t="s">
        <v>1010</v>
      </c>
    </row>
    <row r="964" spans="1:9" s="4" customFormat="1" ht="38.1" customHeight="1" outlineLevel="1" x14ac:dyDescent="0.2">
      <c r="A964" s="5" t="s">
        <v>340</v>
      </c>
      <c r="B964" s="5" t="s">
        <v>345</v>
      </c>
      <c r="C964" s="5" t="s">
        <v>1009</v>
      </c>
      <c r="D964" s="5" t="s">
        <v>464</v>
      </c>
      <c r="E964" s="5" t="s">
        <v>13</v>
      </c>
      <c r="F964" s="5" t="s">
        <v>473</v>
      </c>
      <c r="G964" s="6">
        <v>57750</v>
      </c>
      <c r="H964" s="957" t="str">
        <f>HYPERLINK("https://adv-map.ru/place/?LINK=e33c305f60c8f95aa3b3a8984e0b9a56","Ссылка")</f>
        <v>Ссылка</v>
      </c>
      <c r="I964" s="5" t="s">
        <v>1010</v>
      </c>
    </row>
    <row r="965" spans="1:9" s="4" customFormat="1" ht="38.1" customHeight="1" outlineLevel="1" x14ac:dyDescent="0.2">
      <c r="A965" s="5" t="s">
        <v>340</v>
      </c>
      <c r="B965" s="5" t="s">
        <v>345</v>
      </c>
      <c r="C965" s="5" t="s">
        <v>1009</v>
      </c>
      <c r="D965" s="5" t="s">
        <v>12</v>
      </c>
      <c r="E965" s="5" t="s">
        <v>13</v>
      </c>
      <c r="F965" s="5" t="s">
        <v>16</v>
      </c>
      <c r="G965" s="6">
        <v>37800</v>
      </c>
      <c r="H965" s="958" t="str">
        <f>HYPERLINK("https://adv-map.ru/place/?LINK=ca44e8bcea2e6ec7c2df379c0b20aa93","Ссылка")</f>
        <v>Ссылка</v>
      </c>
      <c r="I965" s="5" t="s">
        <v>1010</v>
      </c>
    </row>
    <row r="966" spans="1:9" s="4" customFormat="1" ht="38.1" customHeight="1" outlineLevel="1" x14ac:dyDescent="0.2">
      <c r="A966" s="5" t="s">
        <v>340</v>
      </c>
      <c r="B966" s="5" t="s">
        <v>345</v>
      </c>
      <c r="C966" s="5" t="s">
        <v>1011</v>
      </c>
      <c r="D966" s="5" t="s">
        <v>12</v>
      </c>
      <c r="E966" s="5" t="s">
        <v>13</v>
      </c>
      <c r="F966" s="5" t="s">
        <v>14</v>
      </c>
      <c r="G966" s="6">
        <v>44100</v>
      </c>
      <c r="H966" s="959" t="str">
        <f>HYPERLINK("https://adv-map.ru/place/?LINK=16b88856e96c68e279ca6116fb69057c","Ссылка")</f>
        <v>Ссылка</v>
      </c>
      <c r="I966" s="5" t="s">
        <v>1012</v>
      </c>
    </row>
    <row r="967" spans="1:9" s="4" customFormat="1" ht="38.1" customHeight="1" outlineLevel="1" x14ac:dyDescent="0.2">
      <c r="A967" s="5" t="s">
        <v>340</v>
      </c>
      <c r="B967" s="5" t="s">
        <v>345</v>
      </c>
      <c r="C967" s="5" t="s">
        <v>1013</v>
      </c>
      <c r="D967" s="5" t="s">
        <v>12</v>
      </c>
      <c r="E967" s="5" t="s">
        <v>13</v>
      </c>
      <c r="F967" s="5" t="s">
        <v>16</v>
      </c>
      <c r="G967" s="6">
        <v>34650</v>
      </c>
      <c r="H967" s="960" t="str">
        <f>HYPERLINK("https://adv-map.ru/place/?LINK=6c3da63790cd6f977372fdefbc84055a","Ссылка")</f>
        <v>Ссылка</v>
      </c>
      <c r="I967" s="5" t="s">
        <v>1012</v>
      </c>
    </row>
    <row r="968" spans="1:9" s="4" customFormat="1" ht="51" customHeight="1" outlineLevel="1" x14ac:dyDescent="0.2">
      <c r="A968" s="5" t="s">
        <v>340</v>
      </c>
      <c r="B968" s="5" t="s">
        <v>345</v>
      </c>
      <c r="C968" s="5" t="s">
        <v>1014</v>
      </c>
      <c r="D968" s="5" t="s">
        <v>12</v>
      </c>
      <c r="E968" s="5" t="s">
        <v>13</v>
      </c>
      <c r="F968" s="5" t="s">
        <v>14</v>
      </c>
      <c r="G968" s="6">
        <v>44100</v>
      </c>
      <c r="H968" s="961" t="str">
        <f>HYPERLINK("https://adv-map.ru/place/?LINK=983d6efebb81b672b163996597e1add7","Ссылка")</f>
        <v>Ссылка</v>
      </c>
      <c r="I968" s="5" t="s">
        <v>1015</v>
      </c>
    </row>
    <row r="969" spans="1:9" s="4" customFormat="1" ht="38.1" customHeight="1" outlineLevel="1" x14ac:dyDescent="0.2">
      <c r="A969" s="5" t="s">
        <v>340</v>
      </c>
      <c r="B969" s="5" t="s">
        <v>345</v>
      </c>
      <c r="C969" s="5" t="s">
        <v>1016</v>
      </c>
      <c r="D969" s="5" t="s">
        <v>12</v>
      </c>
      <c r="E969" s="5" t="s">
        <v>13</v>
      </c>
      <c r="F969" s="5" t="s">
        <v>16</v>
      </c>
      <c r="G969" s="6">
        <v>34650</v>
      </c>
      <c r="H969" s="962" t="str">
        <f>HYPERLINK("https://adv-map.ru/place/?LINK=d88deb061b022f108ca913dad5396199","Ссылка")</f>
        <v>Ссылка</v>
      </c>
      <c r="I969" s="5" t="s">
        <v>1015</v>
      </c>
    </row>
    <row r="970" spans="1:9" s="4" customFormat="1" ht="38.1" customHeight="1" outlineLevel="1" x14ac:dyDescent="0.2">
      <c r="A970" s="5" t="s">
        <v>340</v>
      </c>
      <c r="B970" s="5" t="s">
        <v>345</v>
      </c>
      <c r="C970" s="5" t="s">
        <v>1017</v>
      </c>
      <c r="D970" s="5" t="s">
        <v>12</v>
      </c>
      <c r="E970" s="5" t="s">
        <v>13</v>
      </c>
      <c r="F970" s="5" t="s">
        <v>14</v>
      </c>
      <c r="G970" s="6">
        <v>44100</v>
      </c>
      <c r="H970" s="963" t="str">
        <f>HYPERLINK("https://adv-map.ru/place/?LINK=2da90f9613fc445ec7ea9ff748caeb6f","Ссылка")</f>
        <v>Ссылка</v>
      </c>
      <c r="I970" s="5" t="s">
        <v>1018</v>
      </c>
    </row>
    <row r="971" spans="1:9" s="4" customFormat="1" ht="38.1" customHeight="1" outlineLevel="1" x14ac:dyDescent="0.2">
      <c r="A971" s="5" t="s">
        <v>340</v>
      </c>
      <c r="B971" s="5" t="s">
        <v>345</v>
      </c>
      <c r="C971" s="5" t="s">
        <v>1019</v>
      </c>
      <c r="D971" s="5" t="s">
        <v>12</v>
      </c>
      <c r="E971" s="5" t="s">
        <v>13</v>
      </c>
      <c r="F971" s="5" t="s">
        <v>16</v>
      </c>
      <c r="G971" s="6">
        <v>34650</v>
      </c>
      <c r="H971" s="964" t="str">
        <f>HYPERLINK("https://adv-map.ru/place/?LINK=45391c0073a01db3b03630359fa9c100","Ссылка")</f>
        <v>Ссылка</v>
      </c>
      <c r="I971" s="5" t="s">
        <v>1018</v>
      </c>
    </row>
    <row r="972" spans="1:9" s="4" customFormat="1" ht="38.1" customHeight="1" outlineLevel="1" x14ac:dyDescent="0.2">
      <c r="A972" s="5" t="s">
        <v>340</v>
      </c>
      <c r="B972" s="5" t="s">
        <v>345</v>
      </c>
      <c r="C972" s="5" t="s">
        <v>1020</v>
      </c>
      <c r="D972" s="5" t="s">
        <v>12</v>
      </c>
      <c r="E972" s="5" t="s">
        <v>13</v>
      </c>
      <c r="F972" s="5" t="s">
        <v>14</v>
      </c>
      <c r="G972" s="6">
        <v>44100</v>
      </c>
      <c r="H972" s="965" t="str">
        <f>HYPERLINK("https://adv-map.ru/place/?LINK=732aa8b16ec85f614e292906d35fca04","Ссылка")</f>
        <v>Ссылка</v>
      </c>
      <c r="I972" s="5" t="s">
        <v>1021</v>
      </c>
    </row>
    <row r="973" spans="1:9" s="4" customFormat="1" ht="38.1" customHeight="1" outlineLevel="1" x14ac:dyDescent="0.2">
      <c r="A973" s="5" t="s">
        <v>340</v>
      </c>
      <c r="B973" s="5" t="s">
        <v>345</v>
      </c>
      <c r="C973" s="5" t="s">
        <v>1022</v>
      </c>
      <c r="D973" s="5" t="s">
        <v>12</v>
      </c>
      <c r="E973" s="5" t="s">
        <v>13</v>
      </c>
      <c r="F973" s="5" t="s">
        <v>16</v>
      </c>
      <c r="G973" s="6">
        <v>34650</v>
      </c>
      <c r="H973" s="966" t="str">
        <f>HYPERLINK("https://adv-map.ru/place/?LINK=beec2db6365c41abed5c7457cbb9f219","Ссылка")</f>
        <v>Ссылка</v>
      </c>
      <c r="I973" s="5" t="s">
        <v>1021</v>
      </c>
    </row>
    <row r="974" spans="1:9" s="4" customFormat="1" ht="38.1" customHeight="1" outlineLevel="1" x14ac:dyDescent="0.2">
      <c r="A974" s="5" t="s">
        <v>340</v>
      </c>
      <c r="B974" s="5" t="s">
        <v>345</v>
      </c>
      <c r="C974" s="5" t="s">
        <v>1023</v>
      </c>
      <c r="D974" s="5" t="s">
        <v>12</v>
      </c>
      <c r="E974" s="5" t="s">
        <v>13</v>
      </c>
      <c r="F974" s="5" t="s">
        <v>14</v>
      </c>
      <c r="G974" s="6">
        <v>44100</v>
      </c>
      <c r="H974" s="967" t="str">
        <f>HYPERLINK("https://adv-map.ru/place/?LINK=60502d519cf37c4ebb71c3eb8f270833","Ссылка")</f>
        <v>Ссылка</v>
      </c>
      <c r="I974" s="5" t="s">
        <v>1024</v>
      </c>
    </row>
    <row r="975" spans="1:9" s="4" customFormat="1" ht="38.1" customHeight="1" outlineLevel="1" x14ac:dyDescent="0.2">
      <c r="A975" s="5" t="s">
        <v>340</v>
      </c>
      <c r="B975" s="5" t="s">
        <v>345</v>
      </c>
      <c r="C975" s="5" t="s">
        <v>1025</v>
      </c>
      <c r="D975" s="5" t="s">
        <v>12</v>
      </c>
      <c r="E975" s="5" t="s">
        <v>13</v>
      </c>
      <c r="F975" s="5" t="s">
        <v>16</v>
      </c>
      <c r="G975" s="6">
        <v>34650</v>
      </c>
      <c r="H975" s="968" t="str">
        <f>HYPERLINK("https://adv-map.ru/place/?LINK=b1e8c89c3a4ec79316e2ee0f53db9ffa","Ссылка")</f>
        <v>Ссылка</v>
      </c>
      <c r="I975" s="5" t="s">
        <v>1024</v>
      </c>
    </row>
    <row r="976" spans="1:9" s="4" customFormat="1" ht="38.1" customHeight="1" outlineLevel="1" x14ac:dyDescent="0.2">
      <c r="A976" s="5" t="s">
        <v>340</v>
      </c>
      <c r="B976" s="5" t="s">
        <v>345</v>
      </c>
      <c r="C976" s="5" t="s">
        <v>1026</v>
      </c>
      <c r="D976" s="5" t="s">
        <v>12</v>
      </c>
      <c r="E976" s="5" t="s">
        <v>13</v>
      </c>
      <c r="F976" s="5" t="s">
        <v>14</v>
      </c>
      <c r="G976" s="6">
        <v>44100</v>
      </c>
      <c r="H976" s="969" t="str">
        <f>HYPERLINK("https://adv-map.ru/place/?LINK=d5db53332f944be512073b24c89834e0","Ссылка")</f>
        <v>Ссылка</v>
      </c>
      <c r="I976" s="5" t="s">
        <v>1027</v>
      </c>
    </row>
    <row r="977" spans="1:9" s="4" customFormat="1" ht="38.1" customHeight="1" outlineLevel="1" x14ac:dyDescent="0.2">
      <c r="A977" s="5" t="s">
        <v>340</v>
      </c>
      <c r="B977" s="5" t="s">
        <v>345</v>
      </c>
      <c r="C977" s="5" t="s">
        <v>1026</v>
      </c>
      <c r="D977" s="5" t="s">
        <v>12</v>
      </c>
      <c r="E977" s="5" t="s">
        <v>13</v>
      </c>
      <c r="F977" s="5" t="s">
        <v>16</v>
      </c>
      <c r="G977" s="6">
        <v>44100</v>
      </c>
      <c r="H977" s="970" t="str">
        <f>HYPERLINK("https://adv-map.ru/place/?LINK=be0d1f2b8cccfa7dde4ea1c8d72eefcc","Ссылка")</f>
        <v>Ссылка</v>
      </c>
      <c r="I977" s="5" t="s">
        <v>1027</v>
      </c>
    </row>
    <row r="978" spans="1:9" s="4" customFormat="1" ht="38.1" customHeight="1" outlineLevel="1" x14ac:dyDescent="0.2">
      <c r="A978" s="5" t="s">
        <v>340</v>
      </c>
      <c r="B978" s="5" t="s">
        <v>345</v>
      </c>
      <c r="C978" s="5" t="s">
        <v>1028</v>
      </c>
      <c r="D978" s="5" t="s">
        <v>12</v>
      </c>
      <c r="E978" s="5" t="s">
        <v>13</v>
      </c>
      <c r="F978" s="5" t="s">
        <v>14</v>
      </c>
      <c r="G978" s="6">
        <v>44100</v>
      </c>
      <c r="H978" s="971" t="str">
        <f>HYPERLINK("https://adv-map.ru/place/?LINK=8e6ade59c9d1d1116f24dedf1f3c1892","Ссылка")</f>
        <v>Ссылка</v>
      </c>
      <c r="I978" s="5" t="s">
        <v>1029</v>
      </c>
    </row>
    <row r="979" spans="1:9" s="4" customFormat="1" ht="38.1" customHeight="1" outlineLevel="1" x14ac:dyDescent="0.2">
      <c r="A979" s="5" t="s">
        <v>340</v>
      </c>
      <c r="B979" s="5" t="s">
        <v>345</v>
      </c>
      <c r="C979" s="5" t="s">
        <v>1028</v>
      </c>
      <c r="D979" s="5" t="s">
        <v>12</v>
      </c>
      <c r="E979" s="5" t="s">
        <v>13</v>
      </c>
      <c r="F979" s="5" t="s">
        <v>16</v>
      </c>
      <c r="G979" s="6">
        <v>34650</v>
      </c>
      <c r="H979" s="972" t="str">
        <f>HYPERLINK("https://adv-map.ru/place/?LINK=f071ba0a8dd51607ee2cb445945a6987","Ссылка")</f>
        <v>Ссылка</v>
      </c>
      <c r="I979" s="5" t="s">
        <v>1029</v>
      </c>
    </row>
    <row r="980" spans="1:9" s="4" customFormat="1" ht="38.1" customHeight="1" outlineLevel="1" x14ac:dyDescent="0.2">
      <c r="A980" s="5" t="s">
        <v>340</v>
      </c>
      <c r="B980" s="5" t="s">
        <v>345</v>
      </c>
      <c r="C980" s="5" t="s">
        <v>1030</v>
      </c>
      <c r="D980" s="5" t="s">
        <v>12</v>
      </c>
      <c r="E980" s="5" t="s">
        <v>13</v>
      </c>
      <c r="F980" s="5" t="s">
        <v>14</v>
      </c>
      <c r="G980" s="6">
        <v>44100</v>
      </c>
      <c r="H980" s="973" t="str">
        <f>HYPERLINK("https://adv-map.ru/place/?LINK=17ca07fed348bd3c2a63e81895011745","Ссылка")</f>
        <v>Ссылка</v>
      </c>
      <c r="I980" s="5" t="s">
        <v>1031</v>
      </c>
    </row>
    <row r="981" spans="1:9" s="4" customFormat="1" ht="38.1" customHeight="1" outlineLevel="1" x14ac:dyDescent="0.2">
      <c r="A981" s="5" t="s">
        <v>340</v>
      </c>
      <c r="B981" s="5" t="s">
        <v>345</v>
      </c>
      <c r="C981" s="5" t="s">
        <v>1030</v>
      </c>
      <c r="D981" s="5" t="s">
        <v>12</v>
      </c>
      <c r="E981" s="5" t="s">
        <v>13</v>
      </c>
      <c r="F981" s="5" t="s">
        <v>16</v>
      </c>
      <c r="G981" s="6">
        <v>34650</v>
      </c>
      <c r="H981" s="974" t="str">
        <f>HYPERLINK("https://adv-map.ru/place/?LINK=94a1fc56c91d6d06f05e9b9101376f71","Ссылка")</f>
        <v>Ссылка</v>
      </c>
      <c r="I981" s="5" t="s">
        <v>1031</v>
      </c>
    </row>
    <row r="982" spans="1:9" s="4" customFormat="1" ht="38.1" customHeight="1" outlineLevel="1" x14ac:dyDescent="0.2">
      <c r="A982" s="5" t="s">
        <v>340</v>
      </c>
      <c r="B982" s="5" t="s">
        <v>345</v>
      </c>
      <c r="C982" s="5" t="s">
        <v>1032</v>
      </c>
      <c r="D982" s="5" t="s">
        <v>12</v>
      </c>
      <c r="E982" s="5" t="s">
        <v>13</v>
      </c>
      <c r="F982" s="5" t="s">
        <v>14</v>
      </c>
      <c r="G982" s="6">
        <v>44100</v>
      </c>
      <c r="H982" s="975" t="str">
        <f>HYPERLINK("https://adv-map.ru/place/?LINK=d6cdb9f20593b613760ddeab8b5ae213","Ссылка")</f>
        <v>Ссылка</v>
      </c>
      <c r="I982" s="5" t="s">
        <v>1033</v>
      </c>
    </row>
    <row r="983" spans="1:9" s="4" customFormat="1" ht="38.1" customHeight="1" outlineLevel="1" x14ac:dyDescent="0.2">
      <c r="A983" s="5" t="s">
        <v>340</v>
      </c>
      <c r="B983" s="5" t="s">
        <v>345</v>
      </c>
      <c r="C983" s="5" t="s">
        <v>1032</v>
      </c>
      <c r="D983" s="5" t="s">
        <v>12</v>
      </c>
      <c r="E983" s="5" t="s">
        <v>13</v>
      </c>
      <c r="F983" s="5" t="s">
        <v>16</v>
      </c>
      <c r="G983" s="6">
        <v>34650</v>
      </c>
      <c r="H983" s="976" t="str">
        <f>HYPERLINK("https://adv-map.ru/place/?LINK=ac7d4281a077bcdc5fabe5d488b7ffde","Ссылка")</f>
        <v>Ссылка</v>
      </c>
      <c r="I983" s="5" t="s">
        <v>1033</v>
      </c>
    </row>
    <row r="984" spans="1:9" s="4" customFormat="1" ht="38.1" customHeight="1" outlineLevel="1" x14ac:dyDescent="0.2">
      <c r="A984" s="5" t="s">
        <v>340</v>
      </c>
      <c r="B984" s="5" t="s">
        <v>345</v>
      </c>
      <c r="C984" s="5" t="s">
        <v>1034</v>
      </c>
      <c r="D984" s="5" t="s">
        <v>12</v>
      </c>
      <c r="E984" s="5" t="s">
        <v>13</v>
      </c>
      <c r="F984" s="5" t="s">
        <v>14</v>
      </c>
      <c r="G984" s="6">
        <v>44100</v>
      </c>
      <c r="H984" s="977" t="str">
        <f>HYPERLINK("https://adv-map.ru/place/?LINK=2fd084d1f7f1bbccee6cc12ae0bd32f2","Ссылка")</f>
        <v>Ссылка</v>
      </c>
      <c r="I984" s="5" t="s">
        <v>1035</v>
      </c>
    </row>
    <row r="985" spans="1:9" s="4" customFormat="1" ht="38.1" customHeight="1" outlineLevel="1" x14ac:dyDescent="0.2">
      <c r="A985" s="5" t="s">
        <v>340</v>
      </c>
      <c r="B985" s="5" t="s">
        <v>345</v>
      </c>
      <c r="C985" s="5" t="s">
        <v>1034</v>
      </c>
      <c r="D985" s="5" t="s">
        <v>12</v>
      </c>
      <c r="E985" s="5" t="s">
        <v>13</v>
      </c>
      <c r="F985" s="5" t="s">
        <v>16</v>
      </c>
      <c r="G985" s="6">
        <v>34650</v>
      </c>
      <c r="H985" s="978" t="str">
        <f>HYPERLINK("https://adv-map.ru/place/?LINK=de627c73c1892992f725fb4a9f6385c6","Ссылка")</f>
        <v>Ссылка</v>
      </c>
      <c r="I985" s="5" t="s">
        <v>1035</v>
      </c>
    </row>
    <row r="986" spans="1:9" s="4" customFormat="1" ht="38.1" customHeight="1" outlineLevel="1" x14ac:dyDescent="0.2">
      <c r="A986" s="5" t="s">
        <v>340</v>
      </c>
      <c r="B986" s="5" t="s">
        <v>345</v>
      </c>
      <c r="C986" s="5" t="s">
        <v>1036</v>
      </c>
      <c r="D986" s="5" t="s">
        <v>49</v>
      </c>
      <c r="E986" s="5" t="s">
        <v>13</v>
      </c>
      <c r="F986" s="5" t="s">
        <v>28</v>
      </c>
      <c r="G986" s="6">
        <v>42000</v>
      </c>
      <c r="H986" s="979" t="str">
        <f>HYPERLINK("https://adv-map.ru/place/?LINK=c81bd3d04cbb2a9ec0acec623db92958","Ссылка")</f>
        <v>Ссылка</v>
      </c>
      <c r="I986" s="5" t="s">
        <v>1037</v>
      </c>
    </row>
    <row r="987" spans="1:9" s="4" customFormat="1" ht="38.1" customHeight="1" outlineLevel="1" x14ac:dyDescent="0.2">
      <c r="A987" s="5" t="s">
        <v>340</v>
      </c>
      <c r="B987" s="5" t="s">
        <v>345</v>
      </c>
      <c r="C987" s="5" t="s">
        <v>1036</v>
      </c>
      <c r="D987" s="5" t="s">
        <v>49</v>
      </c>
      <c r="E987" s="5" t="s">
        <v>13</v>
      </c>
      <c r="F987" s="5" t="s">
        <v>30</v>
      </c>
      <c r="G987" s="6">
        <v>42000</v>
      </c>
      <c r="H987" s="980" t="str">
        <f>HYPERLINK("https://adv-map.ru/place/?LINK=2baf84d79f5d0cafa7f82736a92520da","Ссылка")</f>
        <v>Ссылка</v>
      </c>
      <c r="I987" s="5" t="s">
        <v>1037</v>
      </c>
    </row>
    <row r="988" spans="1:9" s="4" customFormat="1" ht="38.1" customHeight="1" outlineLevel="1" x14ac:dyDescent="0.2">
      <c r="A988" s="5" t="s">
        <v>340</v>
      </c>
      <c r="B988" s="5" t="s">
        <v>345</v>
      </c>
      <c r="C988" s="5" t="s">
        <v>1036</v>
      </c>
      <c r="D988" s="5" t="s">
        <v>49</v>
      </c>
      <c r="E988" s="5" t="s">
        <v>13</v>
      </c>
      <c r="F988" s="5" t="s">
        <v>31</v>
      </c>
      <c r="G988" s="6">
        <v>42000</v>
      </c>
      <c r="H988" s="981" t="str">
        <f>HYPERLINK("https://adv-map.ru/place/?LINK=5dc4c08a0ddb66f9226a6aefaae12101","Ссылка")</f>
        <v>Ссылка</v>
      </c>
      <c r="I988" s="5" t="s">
        <v>1037</v>
      </c>
    </row>
    <row r="989" spans="1:9" s="4" customFormat="1" ht="38.1" customHeight="1" outlineLevel="1" x14ac:dyDescent="0.2">
      <c r="A989" s="5" t="s">
        <v>340</v>
      </c>
      <c r="B989" s="5" t="s">
        <v>345</v>
      </c>
      <c r="C989" s="5" t="s">
        <v>1036</v>
      </c>
      <c r="D989" s="5" t="s">
        <v>12</v>
      </c>
      <c r="E989" s="5" t="s">
        <v>13</v>
      </c>
      <c r="F989" s="5" t="s">
        <v>16</v>
      </c>
      <c r="G989" s="6">
        <v>34650</v>
      </c>
      <c r="H989" s="982" t="str">
        <f>HYPERLINK("https://adv-map.ru/place/?LINK=0a042485bd844d78e610c28dd659740f","Ссылка")</f>
        <v>Ссылка</v>
      </c>
      <c r="I989" s="5" t="s">
        <v>1038</v>
      </c>
    </row>
    <row r="990" spans="1:9" s="4" customFormat="1" ht="38.1" customHeight="1" outlineLevel="1" x14ac:dyDescent="0.2">
      <c r="A990" s="5" t="s">
        <v>340</v>
      </c>
      <c r="B990" s="5" t="s">
        <v>345</v>
      </c>
      <c r="C990" s="5" t="s">
        <v>1039</v>
      </c>
      <c r="D990" s="5" t="s">
        <v>347</v>
      </c>
      <c r="E990" s="5" t="s">
        <v>348</v>
      </c>
      <c r="F990" s="5" t="s">
        <v>14</v>
      </c>
      <c r="G990" s="6">
        <v>20160</v>
      </c>
      <c r="H990" s="983" t="str">
        <f>HYPERLINK("https://adv-map.ru/place/?LINK=fece4265d635fa1feec32f9de0e4b49a","Ссылка")</f>
        <v>Ссылка</v>
      </c>
      <c r="I990" s="5" t="s">
        <v>1040</v>
      </c>
    </row>
    <row r="991" spans="1:9" s="4" customFormat="1" ht="38.1" customHeight="1" outlineLevel="1" x14ac:dyDescent="0.2">
      <c r="A991" s="5" t="s">
        <v>340</v>
      </c>
      <c r="B991" s="5" t="s">
        <v>345</v>
      </c>
      <c r="C991" s="5" t="s">
        <v>1039</v>
      </c>
      <c r="D991" s="5" t="s">
        <v>347</v>
      </c>
      <c r="E991" s="5" t="s">
        <v>348</v>
      </c>
      <c r="F991" s="5" t="s">
        <v>16</v>
      </c>
      <c r="G991" s="6">
        <v>15120</v>
      </c>
      <c r="H991" s="984" t="str">
        <f>HYPERLINK("https://adv-map.ru/place/?LINK=bc0cba3076da70213b197459a758bf77","Ссылка")</f>
        <v>Ссылка</v>
      </c>
      <c r="I991" s="5" t="s">
        <v>1040</v>
      </c>
    </row>
    <row r="992" spans="1:9" s="4" customFormat="1" ht="38.1" customHeight="1" outlineLevel="1" x14ac:dyDescent="0.2">
      <c r="A992" s="5" t="s">
        <v>340</v>
      </c>
      <c r="B992" s="5" t="s">
        <v>345</v>
      </c>
      <c r="C992" s="5" t="s">
        <v>1041</v>
      </c>
      <c r="D992" s="5" t="s">
        <v>347</v>
      </c>
      <c r="E992" s="5" t="s">
        <v>348</v>
      </c>
      <c r="F992" s="5" t="s">
        <v>14</v>
      </c>
      <c r="G992" s="6">
        <v>20160</v>
      </c>
      <c r="H992" s="985" t="str">
        <f>HYPERLINK("https://adv-map.ru/place/?LINK=fadeab1828eb716c2d350a787071a1d5","Ссылка")</f>
        <v>Ссылка</v>
      </c>
      <c r="I992" s="5" t="s">
        <v>1042</v>
      </c>
    </row>
    <row r="993" spans="1:9" s="4" customFormat="1" ht="38.1" customHeight="1" outlineLevel="1" x14ac:dyDescent="0.2">
      <c r="A993" s="5" t="s">
        <v>340</v>
      </c>
      <c r="B993" s="5" t="s">
        <v>345</v>
      </c>
      <c r="C993" s="5" t="s">
        <v>1041</v>
      </c>
      <c r="D993" s="5" t="s">
        <v>347</v>
      </c>
      <c r="E993" s="5" t="s">
        <v>348</v>
      </c>
      <c r="F993" s="5" t="s">
        <v>16</v>
      </c>
      <c r="G993" s="6">
        <v>15120</v>
      </c>
      <c r="H993" s="986" t="str">
        <f>HYPERLINK("https://adv-map.ru/place/?LINK=bf9e31ed5ed7e906465cd432cd60e02e","Ссылка")</f>
        <v>Ссылка</v>
      </c>
      <c r="I993" s="5" t="s">
        <v>1042</v>
      </c>
    </row>
    <row r="994" spans="1:9" s="4" customFormat="1" ht="38.1" customHeight="1" outlineLevel="1" x14ac:dyDescent="0.2">
      <c r="A994" s="5" t="s">
        <v>340</v>
      </c>
      <c r="B994" s="5" t="s">
        <v>345</v>
      </c>
      <c r="C994" s="5" t="s">
        <v>1043</v>
      </c>
      <c r="D994" s="5" t="s">
        <v>347</v>
      </c>
      <c r="E994" s="5" t="s">
        <v>348</v>
      </c>
      <c r="F994" s="5" t="s">
        <v>14</v>
      </c>
      <c r="G994" s="6">
        <v>20160</v>
      </c>
      <c r="H994" s="987" t="str">
        <f>HYPERLINK("https://adv-map.ru/place/?LINK=049f524c9a0be654eccfe51f6dd59ed7","Ссылка")</f>
        <v>Ссылка</v>
      </c>
      <c r="I994" s="5" t="s">
        <v>1044</v>
      </c>
    </row>
    <row r="995" spans="1:9" s="4" customFormat="1" ht="38.1" customHeight="1" outlineLevel="1" x14ac:dyDescent="0.2">
      <c r="A995" s="5" t="s">
        <v>340</v>
      </c>
      <c r="B995" s="5" t="s">
        <v>345</v>
      </c>
      <c r="C995" s="5" t="s">
        <v>1043</v>
      </c>
      <c r="D995" s="5" t="s">
        <v>347</v>
      </c>
      <c r="E995" s="5" t="s">
        <v>348</v>
      </c>
      <c r="F995" s="5" t="s">
        <v>16</v>
      </c>
      <c r="G995" s="6">
        <v>15120</v>
      </c>
      <c r="H995" s="988" t="str">
        <f>HYPERLINK("https://adv-map.ru/place/?LINK=fd43c5db152c060a62589f26a57985a9","Ссылка")</f>
        <v>Ссылка</v>
      </c>
      <c r="I995" s="5" t="s">
        <v>1044</v>
      </c>
    </row>
    <row r="996" spans="1:9" s="4" customFormat="1" ht="38.1" customHeight="1" outlineLevel="1" x14ac:dyDescent="0.2">
      <c r="A996" s="5" t="s">
        <v>340</v>
      </c>
      <c r="B996" s="5" t="s">
        <v>134</v>
      </c>
      <c r="C996" s="5" t="s">
        <v>1045</v>
      </c>
      <c r="D996" s="5" t="s">
        <v>12</v>
      </c>
      <c r="E996" s="5" t="s">
        <v>13</v>
      </c>
      <c r="F996" s="5" t="s">
        <v>14</v>
      </c>
      <c r="G996" s="6">
        <v>52500</v>
      </c>
      <c r="H996" s="989" t="str">
        <f>HYPERLINK("https://adv-map.ru/place/?LINK=f36d430240e25a31ef923a2a80fb36fd","Ссылка")</f>
        <v>Ссылка</v>
      </c>
      <c r="I996" s="5" t="s">
        <v>1046</v>
      </c>
    </row>
    <row r="997" spans="1:9" s="4" customFormat="1" ht="38.1" customHeight="1" outlineLevel="1" x14ac:dyDescent="0.2">
      <c r="A997" s="5" t="s">
        <v>340</v>
      </c>
      <c r="B997" s="5" t="s">
        <v>134</v>
      </c>
      <c r="C997" s="5" t="s">
        <v>1047</v>
      </c>
      <c r="D997" s="5" t="s">
        <v>49</v>
      </c>
      <c r="E997" s="5" t="s">
        <v>13</v>
      </c>
      <c r="F997" s="5" t="s">
        <v>28</v>
      </c>
      <c r="G997" s="6">
        <v>49350</v>
      </c>
      <c r="H997" s="990" t="str">
        <f>HYPERLINK("https://adv-map.ru/place/?LINK=b3d0e515a45d287d2d21d1dc3592a483","Ссылка")</f>
        <v>Ссылка</v>
      </c>
      <c r="I997" s="5" t="s">
        <v>1048</v>
      </c>
    </row>
    <row r="998" spans="1:9" s="4" customFormat="1" ht="38.1" customHeight="1" outlineLevel="1" x14ac:dyDescent="0.2">
      <c r="A998" s="5" t="s">
        <v>340</v>
      </c>
      <c r="B998" s="5" t="s">
        <v>134</v>
      </c>
      <c r="C998" s="5" t="s">
        <v>1047</v>
      </c>
      <c r="D998" s="5" t="s">
        <v>49</v>
      </c>
      <c r="E998" s="5" t="s">
        <v>13</v>
      </c>
      <c r="F998" s="5" t="s">
        <v>30</v>
      </c>
      <c r="G998" s="6">
        <v>49350</v>
      </c>
      <c r="H998" s="991" t="str">
        <f>HYPERLINK("https://adv-map.ru/place/?LINK=96b7d968fff6efc5e6596a2c937e8990","Ссылка")</f>
        <v>Ссылка</v>
      </c>
      <c r="I998" s="5" t="s">
        <v>1048</v>
      </c>
    </row>
    <row r="999" spans="1:9" s="4" customFormat="1" ht="51" customHeight="1" outlineLevel="1" x14ac:dyDescent="0.2">
      <c r="A999" s="5" t="s">
        <v>340</v>
      </c>
      <c r="B999" s="5" t="s">
        <v>134</v>
      </c>
      <c r="C999" s="5" t="s">
        <v>1047</v>
      </c>
      <c r="D999" s="5" t="s">
        <v>49</v>
      </c>
      <c r="E999" s="5" t="s">
        <v>13</v>
      </c>
      <c r="F999" s="5" t="s">
        <v>31</v>
      </c>
      <c r="G999" s="6">
        <v>49350</v>
      </c>
      <c r="H999" s="992" t="str">
        <f>HYPERLINK("https://adv-map.ru/place/?LINK=eb4769199457a7b38131206d14464213","Ссылка")</f>
        <v>Ссылка</v>
      </c>
      <c r="I999" s="5" t="s">
        <v>1048</v>
      </c>
    </row>
    <row r="1000" spans="1:9" s="4" customFormat="1" ht="38.1" customHeight="1" outlineLevel="1" x14ac:dyDescent="0.2">
      <c r="A1000" s="5" t="s">
        <v>340</v>
      </c>
      <c r="B1000" s="5" t="s">
        <v>134</v>
      </c>
      <c r="C1000" s="5" t="s">
        <v>1047</v>
      </c>
      <c r="D1000" s="5" t="s">
        <v>49</v>
      </c>
      <c r="E1000" s="5" t="s">
        <v>13</v>
      </c>
      <c r="F1000" s="5" t="s">
        <v>33</v>
      </c>
      <c r="G1000" s="6">
        <v>46200</v>
      </c>
      <c r="H1000" s="993" t="str">
        <f>HYPERLINK("https://adv-map.ru/place/?LINK=de466fc23f0c895618386ae4a314c0a0","Ссылка")</f>
        <v>Ссылка</v>
      </c>
      <c r="I1000" s="5" t="s">
        <v>1048</v>
      </c>
    </row>
    <row r="1001" spans="1:9" s="4" customFormat="1" ht="38.1" customHeight="1" outlineLevel="1" x14ac:dyDescent="0.2">
      <c r="A1001" s="5" t="s">
        <v>340</v>
      </c>
      <c r="B1001" s="5" t="s">
        <v>134</v>
      </c>
      <c r="C1001" s="5" t="s">
        <v>1047</v>
      </c>
      <c r="D1001" s="5" t="s">
        <v>49</v>
      </c>
      <c r="E1001" s="5" t="s">
        <v>13</v>
      </c>
      <c r="F1001" s="5" t="s">
        <v>34</v>
      </c>
      <c r="G1001" s="6">
        <v>46200</v>
      </c>
      <c r="H1001" s="994" t="str">
        <f>HYPERLINK("https://adv-map.ru/place/?LINK=a9b1e1e9f995ffa03e5a5fd1b04154fe","Ссылка")</f>
        <v>Ссылка</v>
      </c>
      <c r="I1001" s="5" t="s">
        <v>1048</v>
      </c>
    </row>
    <row r="1002" spans="1:9" s="4" customFormat="1" ht="38.1" customHeight="1" outlineLevel="1" x14ac:dyDescent="0.2">
      <c r="A1002" s="5" t="s">
        <v>340</v>
      </c>
      <c r="B1002" s="5" t="s">
        <v>134</v>
      </c>
      <c r="C1002" s="5" t="s">
        <v>1047</v>
      </c>
      <c r="D1002" s="5" t="s">
        <v>49</v>
      </c>
      <c r="E1002" s="5" t="s">
        <v>13</v>
      </c>
      <c r="F1002" s="5" t="s">
        <v>35</v>
      </c>
      <c r="G1002" s="6">
        <v>46200</v>
      </c>
      <c r="H1002" s="995" t="str">
        <f>HYPERLINK("https://adv-map.ru/place/?LINK=18d392eec8ae0c6c0aa9bab92a588647","Ссылка")</f>
        <v>Ссылка</v>
      </c>
      <c r="I1002" s="5" t="s">
        <v>1048</v>
      </c>
    </row>
    <row r="1003" spans="1:9" s="4" customFormat="1" ht="38.1" customHeight="1" outlineLevel="1" x14ac:dyDescent="0.2">
      <c r="A1003" s="5" t="s">
        <v>340</v>
      </c>
      <c r="B1003" s="5" t="s">
        <v>134</v>
      </c>
      <c r="C1003" s="5" t="s">
        <v>1049</v>
      </c>
      <c r="D1003" s="5" t="s">
        <v>396</v>
      </c>
      <c r="E1003" s="5" t="s">
        <v>397</v>
      </c>
      <c r="F1003" s="5" t="s">
        <v>28</v>
      </c>
      <c r="G1003" s="6">
        <v>35280</v>
      </c>
      <c r="H1003" s="996" t="str">
        <f>HYPERLINK("https://adv-map.ru/place/?LINK=a5c55a135850ddd685eec969cd643fbe","Ссылка")</f>
        <v>Ссылка</v>
      </c>
      <c r="I1003" s="5" t="s">
        <v>1050</v>
      </c>
    </row>
    <row r="1004" spans="1:9" s="4" customFormat="1" ht="38.1" customHeight="1" outlineLevel="1" x14ac:dyDescent="0.2">
      <c r="A1004" s="5" t="s">
        <v>340</v>
      </c>
      <c r="B1004" s="5" t="s">
        <v>134</v>
      </c>
      <c r="C1004" s="5" t="s">
        <v>1049</v>
      </c>
      <c r="D1004" s="5" t="s">
        <v>396</v>
      </c>
      <c r="E1004" s="5" t="s">
        <v>397</v>
      </c>
      <c r="F1004" s="5" t="s">
        <v>30</v>
      </c>
      <c r="G1004" s="6">
        <v>30240</v>
      </c>
      <c r="H1004" s="997" t="str">
        <f>HYPERLINK("https://adv-map.ru/place/?LINK=96a5e219ce83378ac5efb45471eb92f9","Ссылка")</f>
        <v>Ссылка</v>
      </c>
      <c r="I1004" s="5" t="s">
        <v>1050</v>
      </c>
    </row>
    <row r="1005" spans="1:9" s="4" customFormat="1" ht="38.1" customHeight="1" outlineLevel="1" x14ac:dyDescent="0.2">
      <c r="A1005" s="5" t="s">
        <v>340</v>
      </c>
      <c r="B1005" s="5" t="s">
        <v>134</v>
      </c>
      <c r="C1005" s="5" t="s">
        <v>1049</v>
      </c>
      <c r="D1005" s="5" t="s">
        <v>396</v>
      </c>
      <c r="E1005" s="5" t="s">
        <v>397</v>
      </c>
      <c r="F1005" s="5" t="s">
        <v>31</v>
      </c>
      <c r="G1005" s="6">
        <v>25200</v>
      </c>
      <c r="H1005" s="998" t="str">
        <f>HYPERLINK("https://adv-map.ru/place/?LINK=f9394702865b54c751f408976917aab3","Ссылка")</f>
        <v>Ссылка</v>
      </c>
      <c r="I1005" s="5" t="s">
        <v>1050</v>
      </c>
    </row>
    <row r="1006" spans="1:9" s="4" customFormat="1" ht="38.1" customHeight="1" outlineLevel="1" x14ac:dyDescent="0.2">
      <c r="A1006" s="5" t="s">
        <v>340</v>
      </c>
      <c r="B1006" s="5" t="s">
        <v>134</v>
      </c>
      <c r="C1006" s="5" t="s">
        <v>1051</v>
      </c>
      <c r="D1006" s="5" t="s">
        <v>347</v>
      </c>
      <c r="E1006" s="5" t="s">
        <v>348</v>
      </c>
      <c r="F1006" s="5" t="s">
        <v>14</v>
      </c>
      <c r="G1006" s="6">
        <v>25200</v>
      </c>
      <c r="H1006" s="999" t="str">
        <f>HYPERLINK("https://adv-map.ru/place/?LINK=abb90eacd780068e90ffd0d9f9ca19ea","Ссылка")</f>
        <v>Ссылка</v>
      </c>
      <c r="I1006" s="5" t="s">
        <v>1052</v>
      </c>
    </row>
    <row r="1007" spans="1:9" s="4" customFormat="1" ht="38.1" customHeight="1" outlineLevel="1" x14ac:dyDescent="0.2">
      <c r="A1007" s="5" t="s">
        <v>340</v>
      </c>
      <c r="B1007" s="5" t="s">
        <v>134</v>
      </c>
      <c r="C1007" s="5" t="s">
        <v>1051</v>
      </c>
      <c r="D1007" s="5" t="s">
        <v>347</v>
      </c>
      <c r="E1007" s="5" t="s">
        <v>348</v>
      </c>
      <c r="F1007" s="5" t="s">
        <v>16</v>
      </c>
      <c r="G1007" s="6">
        <v>20160</v>
      </c>
      <c r="H1007" s="1000" t="str">
        <f>HYPERLINK("https://adv-map.ru/place/?LINK=b939fd424b2fc21a8f9bc53232bb0da2","Ссылка")</f>
        <v>Ссылка</v>
      </c>
      <c r="I1007" s="5" t="s">
        <v>1052</v>
      </c>
    </row>
    <row r="1008" spans="1:9" s="4" customFormat="1" ht="38.1" customHeight="1" outlineLevel="1" x14ac:dyDescent="0.2">
      <c r="A1008" s="5" t="s">
        <v>340</v>
      </c>
      <c r="B1008" s="5" t="s">
        <v>134</v>
      </c>
      <c r="C1008" s="5" t="s">
        <v>1053</v>
      </c>
      <c r="D1008" s="5" t="s">
        <v>347</v>
      </c>
      <c r="E1008" s="5" t="s">
        <v>348</v>
      </c>
      <c r="F1008" s="5" t="s">
        <v>14</v>
      </c>
      <c r="G1008" s="6">
        <v>25200</v>
      </c>
      <c r="H1008" s="1001" t="str">
        <f>HYPERLINK("https://adv-map.ru/place/?LINK=3090165aac1ce514c81b630878c7b4f6","Ссылка")</f>
        <v>Ссылка</v>
      </c>
      <c r="I1008" s="5" t="s">
        <v>1054</v>
      </c>
    </row>
    <row r="1009" spans="1:9" s="4" customFormat="1" ht="38.1" customHeight="1" outlineLevel="1" x14ac:dyDescent="0.2">
      <c r="A1009" s="5" t="s">
        <v>340</v>
      </c>
      <c r="B1009" s="5" t="s">
        <v>134</v>
      </c>
      <c r="C1009" s="5" t="s">
        <v>1053</v>
      </c>
      <c r="D1009" s="5" t="s">
        <v>347</v>
      </c>
      <c r="E1009" s="5" t="s">
        <v>348</v>
      </c>
      <c r="F1009" s="5" t="s">
        <v>16</v>
      </c>
      <c r="G1009" s="6">
        <v>20160</v>
      </c>
      <c r="H1009" s="1002" t="str">
        <f>HYPERLINK("https://adv-map.ru/place/?LINK=c8468a08c9b9afa564730373315704d6","Ссылка")</f>
        <v>Ссылка</v>
      </c>
      <c r="I1009" s="5" t="s">
        <v>1054</v>
      </c>
    </row>
    <row r="1010" spans="1:9" s="4" customFormat="1" ht="38.1" customHeight="1" outlineLevel="1" x14ac:dyDescent="0.2">
      <c r="A1010" s="5" t="s">
        <v>340</v>
      </c>
      <c r="B1010" s="5" t="s">
        <v>134</v>
      </c>
      <c r="C1010" s="5" t="s">
        <v>1055</v>
      </c>
      <c r="D1010" s="5" t="s">
        <v>405</v>
      </c>
      <c r="E1010" s="5" t="s">
        <v>348</v>
      </c>
      <c r="F1010" s="5" t="s">
        <v>14</v>
      </c>
      <c r="G1010" s="6">
        <v>25200</v>
      </c>
      <c r="H1010" s="1003" t="str">
        <f>HYPERLINK("https://adv-map.ru/place/?LINK=cedadeffdabb7891e95ab100efa679cc","Ссылка")</f>
        <v>Ссылка</v>
      </c>
      <c r="I1010" s="5" t="s">
        <v>1056</v>
      </c>
    </row>
    <row r="1011" spans="1:9" s="4" customFormat="1" ht="38.1" customHeight="1" outlineLevel="1" x14ac:dyDescent="0.2">
      <c r="A1011" s="5" t="s">
        <v>340</v>
      </c>
      <c r="B1011" s="5" t="s">
        <v>134</v>
      </c>
      <c r="C1011" s="5" t="s">
        <v>1055</v>
      </c>
      <c r="D1011" s="5" t="s">
        <v>405</v>
      </c>
      <c r="E1011" s="5" t="s">
        <v>348</v>
      </c>
      <c r="F1011" s="5" t="s">
        <v>16</v>
      </c>
      <c r="G1011" s="6">
        <v>22680</v>
      </c>
      <c r="H1011" s="1004" t="str">
        <f>HYPERLINK("https://adv-map.ru/place/?LINK=f62189c1c855cb203a7f852dcb35e994","Ссылка")</f>
        <v>Ссылка</v>
      </c>
      <c r="I1011" s="5" t="s">
        <v>1056</v>
      </c>
    </row>
    <row r="1012" spans="1:9" s="4" customFormat="1" ht="38.1" customHeight="1" outlineLevel="1" x14ac:dyDescent="0.2">
      <c r="A1012" s="5" t="s">
        <v>340</v>
      </c>
      <c r="B1012" s="5" t="s">
        <v>134</v>
      </c>
      <c r="C1012" s="5" t="s">
        <v>1057</v>
      </c>
      <c r="D1012" s="5" t="s">
        <v>405</v>
      </c>
      <c r="E1012" s="5" t="s">
        <v>348</v>
      </c>
      <c r="F1012" s="5" t="s">
        <v>14</v>
      </c>
      <c r="G1012" s="6">
        <v>25200</v>
      </c>
      <c r="H1012" s="1005" t="str">
        <f>HYPERLINK("https://adv-map.ru/place/?LINK=6fe4df242a222d71cb032ae6b4549201","Ссылка")</f>
        <v>Ссылка</v>
      </c>
      <c r="I1012" s="5" t="s">
        <v>1058</v>
      </c>
    </row>
    <row r="1013" spans="1:9" s="4" customFormat="1" ht="38.1" customHeight="1" outlineLevel="1" x14ac:dyDescent="0.2">
      <c r="A1013" s="5" t="s">
        <v>340</v>
      </c>
      <c r="B1013" s="5" t="s">
        <v>134</v>
      </c>
      <c r="C1013" s="5" t="s">
        <v>1057</v>
      </c>
      <c r="D1013" s="5" t="s">
        <v>405</v>
      </c>
      <c r="E1013" s="5" t="s">
        <v>348</v>
      </c>
      <c r="F1013" s="5" t="s">
        <v>16</v>
      </c>
      <c r="G1013" s="6">
        <v>22680</v>
      </c>
      <c r="H1013" s="1006" t="str">
        <f>HYPERLINK("https://adv-map.ru/place/?LINK=27308fb4b172b07d64d833ad4dfeb271","Ссылка")</f>
        <v>Ссылка</v>
      </c>
      <c r="I1013" s="5" t="s">
        <v>1058</v>
      </c>
    </row>
    <row r="1014" spans="1:9" s="4" customFormat="1" ht="38.1" customHeight="1" outlineLevel="1" x14ac:dyDescent="0.2">
      <c r="A1014" s="5" t="s">
        <v>340</v>
      </c>
      <c r="B1014" s="5" t="s">
        <v>134</v>
      </c>
      <c r="C1014" s="5" t="s">
        <v>1059</v>
      </c>
      <c r="D1014" s="5" t="s">
        <v>347</v>
      </c>
      <c r="E1014" s="5" t="s">
        <v>348</v>
      </c>
      <c r="F1014" s="5" t="s">
        <v>14</v>
      </c>
      <c r="G1014" s="6">
        <v>25200</v>
      </c>
      <c r="H1014" s="1007" t="str">
        <f>HYPERLINK("https://adv-map.ru/place/?LINK=ddbe1f2d69641aaf149b20c71f395d65","Ссылка")</f>
        <v>Ссылка</v>
      </c>
      <c r="I1014" s="5" t="s">
        <v>1060</v>
      </c>
    </row>
    <row r="1015" spans="1:9" s="4" customFormat="1" ht="38.1" customHeight="1" outlineLevel="1" x14ac:dyDescent="0.2">
      <c r="A1015" s="5" t="s">
        <v>340</v>
      </c>
      <c r="B1015" s="5" t="s">
        <v>134</v>
      </c>
      <c r="C1015" s="5" t="s">
        <v>1059</v>
      </c>
      <c r="D1015" s="5" t="s">
        <v>347</v>
      </c>
      <c r="E1015" s="5" t="s">
        <v>348</v>
      </c>
      <c r="F1015" s="5" t="s">
        <v>16</v>
      </c>
      <c r="G1015" s="6">
        <v>22680</v>
      </c>
      <c r="H1015" s="1008" t="str">
        <f>HYPERLINK("https://adv-map.ru/place/?LINK=359b3f3b08071216b436141a5faafcee","Ссылка")</f>
        <v>Ссылка</v>
      </c>
      <c r="I1015" s="5" t="s">
        <v>1060</v>
      </c>
    </row>
    <row r="1016" spans="1:9" s="4" customFormat="1" ht="38.1" customHeight="1" outlineLevel="1" x14ac:dyDescent="0.2">
      <c r="A1016" s="5" t="s">
        <v>340</v>
      </c>
      <c r="B1016" s="5" t="s">
        <v>134</v>
      </c>
      <c r="C1016" s="5" t="s">
        <v>1061</v>
      </c>
      <c r="D1016" s="5" t="s">
        <v>396</v>
      </c>
      <c r="E1016" s="5" t="s">
        <v>397</v>
      </c>
      <c r="F1016" s="5" t="s">
        <v>28</v>
      </c>
      <c r="G1016" s="6">
        <v>35280</v>
      </c>
      <c r="H1016" s="1009" t="str">
        <f>HYPERLINK("https://adv-map.ru/place/?LINK=10da49deb4883f21eadca34c8e596d3f","Ссылка")</f>
        <v>Ссылка</v>
      </c>
      <c r="I1016" s="5" t="s">
        <v>1062</v>
      </c>
    </row>
    <row r="1017" spans="1:9" s="4" customFormat="1" ht="38.1" customHeight="1" outlineLevel="1" x14ac:dyDescent="0.2">
      <c r="A1017" s="5" t="s">
        <v>340</v>
      </c>
      <c r="B1017" s="5" t="s">
        <v>134</v>
      </c>
      <c r="C1017" s="5" t="s">
        <v>1061</v>
      </c>
      <c r="D1017" s="5" t="s">
        <v>396</v>
      </c>
      <c r="E1017" s="5" t="s">
        <v>397</v>
      </c>
      <c r="F1017" s="5" t="s">
        <v>30</v>
      </c>
      <c r="G1017" s="6">
        <v>25200</v>
      </c>
      <c r="H1017" s="1010" t="str">
        <f>HYPERLINK("https://adv-map.ru/place/?LINK=30e5da08b3429c565bca17e0e950024d","Ссылка")</f>
        <v>Ссылка</v>
      </c>
      <c r="I1017" s="5" t="s">
        <v>1062</v>
      </c>
    </row>
    <row r="1018" spans="1:9" s="4" customFormat="1" ht="38.1" customHeight="1" outlineLevel="1" x14ac:dyDescent="0.2">
      <c r="A1018" s="5" t="s">
        <v>340</v>
      </c>
      <c r="B1018" s="5" t="s">
        <v>134</v>
      </c>
      <c r="C1018" s="5" t="s">
        <v>1061</v>
      </c>
      <c r="D1018" s="5" t="s">
        <v>396</v>
      </c>
      <c r="E1018" s="5" t="s">
        <v>397</v>
      </c>
      <c r="F1018" s="5" t="s">
        <v>31</v>
      </c>
      <c r="G1018" s="6">
        <v>25200</v>
      </c>
      <c r="H1018" s="1011" t="str">
        <f>HYPERLINK("https://adv-map.ru/place/?LINK=805a11876ee08ef28246269f361b43d3","Ссылка")</f>
        <v>Ссылка</v>
      </c>
      <c r="I1018" s="5" t="s">
        <v>1062</v>
      </c>
    </row>
    <row r="1019" spans="1:9" s="4" customFormat="1" ht="51" customHeight="1" outlineLevel="1" x14ac:dyDescent="0.2">
      <c r="A1019" s="5" t="s">
        <v>340</v>
      </c>
      <c r="B1019" s="5" t="s">
        <v>134</v>
      </c>
      <c r="C1019" s="5" t="s">
        <v>1063</v>
      </c>
      <c r="D1019" s="5" t="s">
        <v>347</v>
      </c>
      <c r="E1019" s="5" t="s">
        <v>348</v>
      </c>
      <c r="F1019" s="5" t="s">
        <v>14</v>
      </c>
      <c r="G1019" s="6">
        <v>25200</v>
      </c>
      <c r="H1019" s="1012" t="str">
        <f>HYPERLINK("https://adv-map.ru/place/?LINK=da6a44f541c3c7189798ee0f09ec53bf","Ссылка")</f>
        <v>Ссылка</v>
      </c>
      <c r="I1019" s="5" t="s">
        <v>1064</v>
      </c>
    </row>
    <row r="1020" spans="1:9" s="4" customFormat="1" ht="51" customHeight="1" outlineLevel="1" x14ac:dyDescent="0.2">
      <c r="A1020" s="5" t="s">
        <v>340</v>
      </c>
      <c r="B1020" s="5" t="s">
        <v>134</v>
      </c>
      <c r="C1020" s="5" t="s">
        <v>1063</v>
      </c>
      <c r="D1020" s="5" t="s">
        <v>347</v>
      </c>
      <c r="E1020" s="5" t="s">
        <v>348</v>
      </c>
      <c r="F1020" s="5" t="s">
        <v>16</v>
      </c>
      <c r="G1020" s="6">
        <v>22680</v>
      </c>
      <c r="H1020" s="1013" t="str">
        <f>HYPERLINK("https://adv-map.ru/place/?LINK=054a8f9bf7d5676e1646b66d1889f8aa","Ссылка")</f>
        <v>Ссылка</v>
      </c>
      <c r="I1020" s="5" t="s">
        <v>1064</v>
      </c>
    </row>
    <row r="1021" spans="1:9" s="4" customFormat="1" ht="51" customHeight="1" outlineLevel="1" x14ac:dyDescent="0.2">
      <c r="A1021" s="5" t="s">
        <v>340</v>
      </c>
      <c r="B1021" s="5" t="s">
        <v>134</v>
      </c>
      <c r="C1021" s="5" t="s">
        <v>1065</v>
      </c>
      <c r="D1021" s="5" t="s">
        <v>347</v>
      </c>
      <c r="E1021" s="5" t="s">
        <v>348</v>
      </c>
      <c r="F1021" s="5" t="s">
        <v>14</v>
      </c>
      <c r="G1021" s="6">
        <v>25200</v>
      </c>
      <c r="H1021" s="1014" t="str">
        <f>HYPERLINK("https://adv-map.ru/place/?LINK=77fd5ccf151d12a1521373726a299e2a","Ссылка")</f>
        <v>Ссылка</v>
      </c>
      <c r="I1021" s="5" t="s">
        <v>1066</v>
      </c>
    </row>
    <row r="1022" spans="1:9" s="4" customFormat="1" ht="51" customHeight="1" outlineLevel="1" x14ac:dyDescent="0.2">
      <c r="A1022" s="5" t="s">
        <v>340</v>
      </c>
      <c r="B1022" s="5" t="s">
        <v>134</v>
      </c>
      <c r="C1022" s="5" t="s">
        <v>1065</v>
      </c>
      <c r="D1022" s="5" t="s">
        <v>347</v>
      </c>
      <c r="E1022" s="5" t="s">
        <v>348</v>
      </c>
      <c r="F1022" s="5" t="s">
        <v>16</v>
      </c>
      <c r="G1022" s="6">
        <v>22680</v>
      </c>
      <c r="H1022" s="1015" t="str">
        <f>HYPERLINK("https://adv-map.ru/place/?LINK=39dca690584b145cf7cb59697b6d0606","Ссылка")</f>
        <v>Ссылка</v>
      </c>
      <c r="I1022" s="5" t="s">
        <v>1066</v>
      </c>
    </row>
    <row r="1023" spans="1:9" s="4" customFormat="1" ht="38.1" customHeight="1" outlineLevel="1" x14ac:dyDescent="0.2">
      <c r="A1023" s="5" t="s">
        <v>340</v>
      </c>
      <c r="B1023" s="5" t="s">
        <v>134</v>
      </c>
      <c r="C1023" s="5" t="s">
        <v>1067</v>
      </c>
      <c r="D1023" s="5" t="s">
        <v>12</v>
      </c>
      <c r="E1023" s="5" t="s">
        <v>13</v>
      </c>
      <c r="F1023" s="5" t="s">
        <v>14</v>
      </c>
      <c r="G1023" s="6">
        <v>44100</v>
      </c>
      <c r="H1023" s="1016" t="str">
        <f>HYPERLINK("https://adv-map.ru/place/?LINK=17537f2fa55a53e0c678fd9504d96ffc","Ссылка")</f>
        <v>Ссылка</v>
      </c>
      <c r="I1023" s="5" t="s">
        <v>1068</v>
      </c>
    </row>
    <row r="1024" spans="1:9" s="4" customFormat="1" ht="38.1" customHeight="1" outlineLevel="1" x14ac:dyDescent="0.2">
      <c r="A1024" s="5" t="s">
        <v>340</v>
      </c>
      <c r="B1024" s="5" t="s">
        <v>134</v>
      </c>
      <c r="C1024" s="5" t="s">
        <v>1067</v>
      </c>
      <c r="D1024" s="5" t="s">
        <v>12</v>
      </c>
      <c r="E1024" s="5" t="s">
        <v>13</v>
      </c>
      <c r="F1024" s="5" t="s">
        <v>16</v>
      </c>
      <c r="G1024" s="6">
        <v>44100</v>
      </c>
      <c r="H1024" s="1017" t="str">
        <f>HYPERLINK("https://adv-map.ru/place/?LINK=b3a9e4b6be57e2c8c61ab7d34e1a1c91","Ссылка")</f>
        <v>Ссылка</v>
      </c>
      <c r="I1024" s="5" t="s">
        <v>1068</v>
      </c>
    </row>
    <row r="1025" spans="1:9" s="4" customFormat="1" ht="38.1" customHeight="1" outlineLevel="1" x14ac:dyDescent="0.2">
      <c r="A1025" s="5" t="s">
        <v>340</v>
      </c>
      <c r="B1025" s="5" t="s">
        <v>134</v>
      </c>
      <c r="C1025" s="5" t="s">
        <v>1069</v>
      </c>
      <c r="D1025" s="5" t="s">
        <v>405</v>
      </c>
      <c r="E1025" s="5" t="s">
        <v>348</v>
      </c>
      <c r="F1025" s="5" t="s">
        <v>14</v>
      </c>
      <c r="G1025" s="6">
        <v>25200</v>
      </c>
      <c r="H1025" s="1018" t="str">
        <f>HYPERLINK("https://adv-map.ru/place/?LINK=11ea696634c0c7e2e5e9dbf93d650485","Ссылка")</f>
        <v>Ссылка</v>
      </c>
      <c r="I1025" s="5" t="s">
        <v>1070</v>
      </c>
    </row>
    <row r="1026" spans="1:9" s="4" customFormat="1" ht="38.1" customHeight="1" outlineLevel="1" x14ac:dyDescent="0.2">
      <c r="A1026" s="5" t="s">
        <v>340</v>
      </c>
      <c r="B1026" s="5" t="s">
        <v>134</v>
      </c>
      <c r="C1026" s="5" t="s">
        <v>1069</v>
      </c>
      <c r="D1026" s="5" t="s">
        <v>405</v>
      </c>
      <c r="E1026" s="5" t="s">
        <v>348</v>
      </c>
      <c r="F1026" s="5" t="s">
        <v>16</v>
      </c>
      <c r="G1026" s="6">
        <v>22680</v>
      </c>
      <c r="H1026" s="1019" t="str">
        <f>HYPERLINK("https://adv-map.ru/place/?LINK=9d412c484b6cf998d51d3607535177d8","Ссылка")</f>
        <v>Ссылка</v>
      </c>
      <c r="I1026" s="5" t="s">
        <v>1070</v>
      </c>
    </row>
    <row r="1027" spans="1:9" s="4" customFormat="1" ht="38.1" customHeight="1" outlineLevel="1" x14ac:dyDescent="0.2">
      <c r="A1027" s="5" t="s">
        <v>340</v>
      </c>
      <c r="B1027" s="5" t="s">
        <v>134</v>
      </c>
      <c r="C1027" s="5" t="s">
        <v>1071</v>
      </c>
      <c r="D1027" s="5" t="s">
        <v>347</v>
      </c>
      <c r="E1027" s="5" t="s">
        <v>348</v>
      </c>
      <c r="F1027" s="5" t="s">
        <v>14</v>
      </c>
      <c r="G1027" s="6">
        <v>25200</v>
      </c>
      <c r="H1027" s="1020" t="str">
        <f>HYPERLINK("https://adv-map.ru/place/?LINK=a3cc931725800b1f3912126b725a22b8","Ссылка")</f>
        <v>Ссылка</v>
      </c>
      <c r="I1027" s="5" t="s">
        <v>1072</v>
      </c>
    </row>
    <row r="1028" spans="1:9" s="4" customFormat="1" ht="38.1" customHeight="1" outlineLevel="1" x14ac:dyDescent="0.2">
      <c r="A1028" s="5" t="s">
        <v>340</v>
      </c>
      <c r="B1028" s="5" t="s">
        <v>134</v>
      </c>
      <c r="C1028" s="5" t="s">
        <v>1071</v>
      </c>
      <c r="D1028" s="5" t="s">
        <v>347</v>
      </c>
      <c r="E1028" s="5" t="s">
        <v>348</v>
      </c>
      <c r="F1028" s="5" t="s">
        <v>16</v>
      </c>
      <c r="G1028" s="6">
        <v>22680</v>
      </c>
      <c r="H1028" s="1021" t="str">
        <f>HYPERLINK("https://adv-map.ru/place/?LINK=06381990d7fb4c2ce8ab334910842499","Ссылка")</f>
        <v>Ссылка</v>
      </c>
      <c r="I1028" s="5" t="s">
        <v>1072</v>
      </c>
    </row>
    <row r="1029" spans="1:9" s="4" customFormat="1" ht="38.1" customHeight="1" outlineLevel="1" x14ac:dyDescent="0.2">
      <c r="A1029" s="5" t="s">
        <v>340</v>
      </c>
      <c r="B1029" s="5" t="s">
        <v>134</v>
      </c>
      <c r="C1029" s="5" t="s">
        <v>1073</v>
      </c>
      <c r="D1029" s="5" t="s">
        <v>405</v>
      </c>
      <c r="E1029" s="5" t="s">
        <v>348</v>
      </c>
      <c r="F1029" s="5" t="s">
        <v>14</v>
      </c>
      <c r="G1029" s="6">
        <v>25200</v>
      </c>
      <c r="H1029" s="1022" t="str">
        <f>HYPERLINK("https://adv-map.ru/place/?LINK=d4c5922b89b7a6f03a0e5d5c49b9ad75","Ссылка")</f>
        <v>Ссылка</v>
      </c>
      <c r="I1029" s="5" t="s">
        <v>1074</v>
      </c>
    </row>
    <row r="1030" spans="1:9" s="4" customFormat="1" ht="38.1" customHeight="1" outlineLevel="1" x14ac:dyDescent="0.2">
      <c r="A1030" s="5" t="s">
        <v>340</v>
      </c>
      <c r="B1030" s="5" t="s">
        <v>134</v>
      </c>
      <c r="C1030" s="5" t="s">
        <v>1073</v>
      </c>
      <c r="D1030" s="5" t="s">
        <v>405</v>
      </c>
      <c r="E1030" s="5" t="s">
        <v>348</v>
      </c>
      <c r="F1030" s="5" t="s">
        <v>16</v>
      </c>
      <c r="G1030" s="6">
        <v>22680</v>
      </c>
      <c r="H1030" s="1023" t="str">
        <f>HYPERLINK("https://adv-map.ru/place/?LINK=1ca65a893c70d585befaab72509c05c7","Ссылка")</f>
        <v>Ссылка</v>
      </c>
      <c r="I1030" s="5" t="s">
        <v>1074</v>
      </c>
    </row>
    <row r="1031" spans="1:9" s="4" customFormat="1" ht="38.1" customHeight="1" outlineLevel="1" x14ac:dyDescent="0.2">
      <c r="A1031" s="5" t="s">
        <v>340</v>
      </c>
      <c r="B1031" s="5" t="s">
        <v>134</v>
      </c>
      <c r="C1031" s="5" t="s">
        <v>1075</v>
      </c>
      <c r="D1031" s="5" t="s">
        <v>347</v>
      </c>
      <c r="E1031" s="5" t="s">
        <v>348</v>
      </c>
      <c r="F1031" s="5" t="s">
        <v>14</v>
      </c>
      <c r="G1031" s="6">
        <v>30240</v>
      </c>
      <c r="H1031" s="1024" t="str">
        <f>HYPERLINK("https://adv-map.ru/place/?LINK=d0b71005c6725868b386f6a9ae30869f","Ссылка")</f>
        <v>Ссылка</v>
      </c>
      <c r="I1031" s="5" t="s">
        <v>1076</v>
      </c>
    </row>
    <row r="1032" spans="1:9" s="4" customFormat="1" ht="38.1" customHeight="1" outlineLevel="1" x14ac:dyDescent="0.2">
      <c r="A1032" s="5" t="s">
        <v>340</v>
      </c>
      <c r="B1032" s="5" t="s">
        <v>134</v>
      </c>
      <c r="C1032" s="5" t="s">
        <v>1075</v>
      </c>
      <c r="D1032" s="5" t="s">
        <v>347</v>
      </c>
      <c r="E1032" s="5" t="s">
        <v>348</v>
      </c>
      <c r="F1032" s="5" t="s">
        <v>16</v>
      </c>
      <c r="G1032" s="6">
        <v>25200</v>
      </c>
      <c r="H1032" s="1025" t="str">
        <f>HYPERLINK("https://adv-map.ru/place/?LINK=8a9749984cb4fe94a1988ee41578c9f5","Ссылка")</f>
        <v>Ссылка</v>
      </c>
      <c r="I1032" s="5" t="s">
        <v>1076</v>
      </c>
    </row>
    <row r="1033" spans="1:9" s="4" customFormat="1" ht="38.1" customHeight="1" outlineLevel="1" x14ac:dyDescent="0.2">
      <c r="A1033" s="5" t="s">
        <v>340</v>
      </c>
      <c r="B1033" s="5" t="s">
        <v>134</v>
      </c>
      <c r="C1033" s="5" t="s">
        <v>1077</v>
      </c>
      <c r="D1033" s="5" t="s">
        <v>49</v>
      </c>
      <c r="E1033" s="5" t="s">
        <v>13</v>
      </c>
      <c r="F1033" s="5" t="s">
        <v>28</v>
      </c>
      <c r="G1033" s="6">
        <v>57750</v>
      </c>
      <c r="H1033" s="1026" t="str">
        <f>HYPERLINK("https://adv-map.ru/place/?LINK=47e4944464744afec74b207759389440","Ссылка")</f>
        <v>Ссылка</v>
      </c>
      <c r="I1033" s="5" t="s">
        <v>1078</v>
      </c>
    </row>
    <row r="1034" spans="1:9" s="4" customFormat="1" ht="38.1" customHeight="1" outlineLevel="1" x14ac:dyDescent="0.2">
      <c r="A1034" s="5" t="s">
        <v>340</v>
      </c>
      <c r="B1034" s="5" t="s">
        <v>134</v>
      </c>
      <c r="C1034" s="5" t="s">
        <v>1077</v>
      </c>
      <c r="D1034" s="5" t="s">
        <v>49</v>
      </c>
      <c r="E1034" s="5" t="s">
        <v>13</v>
      </c>
      <c r="F1034" s="5" t="s">
        <v>30</v>
      </c>
      <c r="G1034" s="6">
        <v>57750</v>
      </c>
      <c r="H1034" s="1027" t="str">
        <f>HYPERLINK("https://adv-map.ru/place/?LINK=eb17e8d9e86aaac0dab1e8536872ba07","Ссылка")</f>
        <v>Ссылка</v>
      </c>
      <c r="I1034" s="5" t="s">
        <v>1078</v>
      </c>
    </row>
    <row r="1035" spans="1:9" s="4" customFormat="1" ht="38.1" customHeight="1" outlineLevel="1" x14ac:dyDescent="0.2">
      <c r="A1035" s="5" t="s">
        <v>340</v>
      </c>
      <c r="B1035" s="5" t="s">
        <v>134</v>
      </c>
      <c r="C1035" s="5" t="s">
        <v>1077</v>
      </c>
      <c r="D1035" s="5" t="s">
        <v>49</v>
      </c>
      <c r="E1035" s="5" t="s">
        <v>13</v>
      </c>
      <c r="F1035" s="5" t="s">
        <v>31</v>
      </c>
      <c r="G1035" s="6">
        <v>57750</v>
      </c>
      <c r="H1035" s="1028" t="str">
        <f>HYPERLINK("https://adv-map.ru/place/?LINK=58e65d15132266b69812bf813e897a94","Ссылка")</f>
        <v>Ссылка</v>
      </c>
      <c r="I1035" s="5" t="s">
        <v>1078</v>
      </c>
    </row>
    <row r="1036" spans="1:9" s="4" customFormat="1" ht="38.1" customHeight="1" outlineLevel="1" x14ac:dyDescent="0.2">
      <c r="A1036" s="5" t="s">
        <v>340</v>
      </c>
      <c r="B1036" s="5" t="s">
        <v>134</v>
      </c>
      <c r="C1036" s="5" t="s">
        <v>1077</v>
      </c>
      <c r="D1036" s="5" t="s">
        <v>49</v>
      </c>
      <c r="E1036" s="5" t="s">
        <v>13</v>
      </c>
      <c r="F1036" s="5" t="s">
        <v>33</v>
      </c>
      <c r="G1036" s="6">
        <v>52500</v>
      </c>
      <c r="H1036" s="1029" t="str">
        <f>HYPERLINK("https://adv-map.ru/place/?LINK=9099860f0934b8a4860551e908cce334","Ссылка")</f>
        <v>Ссылка</v>
      </c>
      <c r="I1036" s="5" t="s">
        <v>1079</v>
      </c>
    </row>
    <row r="1037" spans="1:9" s="4" customFormat="1" ht="38.1" customHeight="1" outlineLevel="1" x14ac:dyDescent="0.2">
      <c r="A1037" s="5" t="s">
        <v>340</v>
      </c>
      <c r="B1037" s="5" t="s">
        <v>134</v>
      </c>
      <c r="C1037" s="5" t="s">
        <v>1077</v>
      </c>
      <c r="D1037" s="5" t="s">
        <v>49</v>
      </c>
      <c r="E1037" s="5" t="s">
        <v>13</v>
      </c>
      <c r="F1037" s="5" t="s">
        <v>34</v>
      </c>
      <c r="G1037" s="6">
        <v>52500</v>
      </c>
      <c r="H1037" s="1030" t="str">
        <f>HYPERLINK("https://adv-map.ru/place/?LINK=af9099a69195d7f09fbe0157beb85074","Ссылка")</f>
        <v>Ссылка</v>
      </c>
      <c r="I1037" s="5" t="s">
        <v>1079</v>
      </c>
    </row>
    <row r="1038" spans="1:9" s="4" customFormat="1" ht="38.1" customHeight="1" outlineLevel="1" x14ac:dyDescent="0.2">
      <c r="A1038" s="5" t="s">
        <v>340</v>
      </c>
      <c r="B1038" s="5" t="s">
        <v>134</v>
      </c>
      <c r="C1038" s="5" t="s">
        <v>1077</v>
      </c>
      <c r="D1038" s="5" t="s">
        <v>49</v>
      </c>
      <c r="E1038" s="5" t="s">
        <v>13</v>
      </c>
      <c r="F1038" s="5" t="s">
        <v>35</v>
      </c>
      <c r="G1038" s="6">
        <v>52500</v>
      </c>
      <c r="H1038" s="1031" t="str">
        <f>HYPERLINK("https://adv-map.ru/place/?LINK=055c73bb0747563369b2e3dac9b124a3","Ссылка")</f>
        <v>Ссылка</v>
      </c>
      <c r="I1038" s="5" t="s">
        <v>1079</v>
      </c>
    </row>
    <row r="1039" spans="1:9" s="4" customFormat="1" ht="38.1" customHeight="1" outlineLevel="1" x14ac:dyDescent="0.2">
      <c r="A1039" s="5" t="s">
        <v>340</v>
      </c>
      <c r="B1039" s="5" t="s">
        <v>354</v>
      </c>
      <c r="C1039" s="5" t="s">
        <v>1080</v>
      </c>
      <c r="D1039" s="5" t="s">
        <v>347</v>
      </c>
      <c r="E1039" s="5" t="s">
        <v>348</v>
      </c>
      <c r="F1039" s="5" t="s">
        <v>14</v>
      </c>
      <c r="G1039" s="6">
        <v>20160</v>
      </c>
      <c r="H1039" s="1032" t="str">
        <f>HYPERLINK("https://adv-map.ru/place/?LINK=2305c0ad8e4fcaaf01cebe551fdf4a3a","Ссылка")</f>
        <v>Ссылка</v>
      </c>
      <c r="I1039" s="5" t="s">
        <v>1081</v>
      </c>
    </row>
    <row r="1040" spans="1:9" s="4" customFormat="1" ht="38.1" customHeight="1" outlineLevel="1" x14ac:dyDescent="0.2">
      <c r="A1040" s="5" t="s">
        <v>340</v>
      </c>
      <c r="B1040" s="5" t="s">
        <v>354</v>
      </c>
      <c r="C1040" s="5" t="s">
        <v>1080</v>
      </c>
      <c r="D1040" s="5" t="s">
        <v>347</v>
      </c>
      <c r="E1040" s="5" t="s">
        <v>348</v>
      </c>
      <c r="F1040" s="5" t="s">
        <v>16</v>
      </c>
      <c r="G1040" s="6">
        <v>15120</v>
      </c>
      <c r="H1040" s="1033" t="str">
        <f>HYPERLINK("https://adv-map.ru/place/?LINK=641445c1e8ff1fa248b5734fb70c5ddf","Ссылка")</f>
        <v>Ссылка</v>
      </c>
      <c r="I1040" s="5" t="s">
        <v>1081</v>
      </c>
    </row>
    <row r="1041" spans="1:9" s="4" customFormat="1" ht="38.1" customHeight="1" outlineLevel="1" x14ac:dyDescent="0.2">
      <c r="A1041" s="5" t="s">
        <v>340</v>
      </c>
      <c r="B1041" s="5" t="s">
        <v>354</v>
      </c>
      <c r="C1041" s="5" t="s">
        <v>1082</v>
      </c>
      <c r="D1041" s="5" t="s">
        <v>12</v>
      </c>
      <c r="E1041" s="5" t="s">
        <v>13</v>
      </c>
      <c r="F1041" s="5" t="s">
        <v>14</v>
      </c>
      <c r="G1041" s="6">
        <v>37800</v>
      </c>
      <c r="H1041" s="1034" t="str">
        <f>HYPERLINK("https://adv-map.ru/place/?LINK=f912315dab77fc2f44c91d483be5b0a1","Ссылка")</f>
        <v>Ссылка</v>
      </c>
      <c r="I1041" s="5" t="s">
        <v>1083</v>
      </c>
    </row>
    <row r="1042" spans="1:9" s="4" customFormat="1" ht="38.1" customHeight="1" outlineLevel="1" x14ac:dyDescent="0.2">
      <c r="A1042" s="5" t="s">
        <v>340</v>
      </c>
      <c r="B1042" s="5" t="s">
        <v>354</v>
      </c>
      <c r="C1042" s="5" t="s">
        <v>1082</v>
      </c>
      <c r="D1042" s="5" t="s">
        <v>12</v>
      </c>
      <c r="E1042" s="5" t="s">
        <v>13</v>
      </c>
      <c r="F1042" s="5" t="s">
        <v>16</v>
      </c>
      <c r="G1042" s="6">
        <v>31500</v>
      </c>
      <c r="H1042" s="1035" t="str">
        <f>HYPERLINK("https://adv-map.ru/place/?LINK=9d9fe246650566db594388f35a17c410","Ссылка")</f>
        <v>Ссылка</v>
      </c>
      <c r="I1042" s="5" t="s">
        <v>1083</v>
      </c>
    </row>
    <row r="1043" spans="1:9" s="4" customFormat="1" ht="38.1" customHeight="1" outlineLevel="1" x14ac:dyDescent="0.2">
      <c r="A1043" s="5" t="s">
        <v>340</v>
      </c>
      <c r="B1043" s="5" t="s">
        <v>354</v>
      </c>
      <c r="C1043" s="5" t="s">
        <v>1084</v>
      </c>
      <c r="D1043" s="5" t="s">
        <v>347</v>
      </c>
      <c r="E1043" s="5" t="s">
        <v>348</v>
      </c>
      <c r="F1043" s="5" t="s">
        <v>14</v>
      </c>
      <c r="G1043" s="6">
        <v>20160</v>
      </c>
      <c r="H1043" s="1036" t="str">
        <f>HYPERLINK("https://adv-map.ru/place/?LINK=7c00bbe990586718a41bd8fdcfe097bf","Ссылка")</f>
        <v>Ссылка</v>
      </c>
      <c r="I1043" s="5" t="s">
        <v>1085</v>
      </c>
    </row>
    <row r="1044" spans="1:9" s="4" customFormat="1" ht="38.1" customHeight="1" outlineLevel="1" x14ac:dyDescent="0.2">
      <c r="A1044" s="5" t="s">
        <v>340</v>
      </c>
      <c r="B1044" s="5" t="s">
        <v>354</v>
      </c>
      <c r="C1044" s="5" t="s">
        <v>1084</v>
      </c>
      <c r="D1044" s="5" t="s">
        <v>347</v>
      </c>
      <c r="E1044" s="5" t="s">
        <v>348</v>
      </c>
      <c r="F1044" s="5" t="s">
        <v>16</v>
      </c>
      <c r="G1044" s="6">
        <v>15120</v>
      </c>
      <c r="H1044" s="1037" t="str">
        <f>HYPERLINK("https://adv-map.ru/place/?LINK=808cce8628ffaa5b7c993a54e3fb8a8b","Ссылка")</f>
        <v>Ссылка</v>
      </c>
      <c r="I1044" s="5" t="s">
        <v>1085</v>
      </c>
    </row>
    <row r="1045" spans="1:9" s="4" customFormat="1" ht="38.1" customHeight="1" outlineLevel="1" x14ac:dyDescent="0.2">
      <c r="A1045" s="5" t="s">
        <v>340</v>
      </c>
      <c r="B1045" s="5" t="s">
        <v>354</v>
      </c>
      <c r="C1045" s="5" t="s">
        <v>1086</v>
      </c>
      <c r="D1045" s="5" t="s">
        <v>347</v>
      </c>
      <c r="E1045" s="5" t="s">
        <v>348</v>
      </c>
      <c r="F1045" s="5" t="s">
        <v>14</v>
      </c>
      <c r="G1045" s="6">
        <v>20160</v>
      </c>
      <c r="H1045" s="1038" t="str">
        <f>HYPERLINK("https://adv-map.ru/place/?LINK=f82ab4da5650cb00f1e75308e3faab75","Ссылка")</f>
        <v>Ссылка</v>
      </c>
      <c r="I1045" s="5" t="s">
        <v>1087</v>
      </c>
    </row>
    <row r="1046" spans="1:9" s="4" customFormat="1" ht="38.1" customHeight="1" outlineLevel="1" x14ac:dyDescent="0.2">
      <c r="A1046" s="5" t="s">
        <v>340</v>
      </c>
      <c r="B1046" s="5" t="s">
        <v>354</v>
      </c>
      <c r="C1046" s="5" t="s">
        <v>1086</v>
      </c>
      <c r="D1046" s="5" t="s">
        <v>347</v>
      </c>
      <c r="E1046" s="5" t="s">
        <v>348</v>
      </c>
      <c r="F1046" s="5" t="s">
        <v>16</v>
      </c>
      <c r="G1046" s="6">
        <v>15120</v>
      </c>
      <c r="H1046" s="1039" t="str">
        <f>HYPERLINK("https://adv-map.ru/place/?LINK=a03fd1dfa3c1b7ab2ae4e0562d640c80","Ссылка")</f>
        <v>Ссылка</v>
      </c>
      <c r="I1046" s="5" t="s">
        <v>1088</v>
      </c>
    </row>
    <row r="1047" spans="1:9" s="4" customFormat="1" ht="38.1" customHeight="1" outlineLevel="1" x14ac:dyDescent="0.2">
      <c r="A1047" s="5" t="s">
        <v>340</v>
      </c>
      <c r="B1047" s="5" t="s">
        <v>354</v>
      </c>
      <c r="C1047" s="5" t="s">
        <v>1089</v>
      </c>
      <c r="D1047" s="5" t="s">
        <v>12</v>
      </c>
      <c r="E1047" s="5" t="s">
        <v>13</v>
      </c>
      <c r="F1047" s="5" t="s">
        <v>14</v>
      </c>
      <c r="G1047" s="6">
        <v>44100</v>
      </c>
      <c r="H1047" s="1040" t="str">
        <f>HYPERLINK("https://adv-map.ru/place/?LINK=da2d6717626fd10d5adbb62fdd829941","Ссылка")</f>
        <v>Ссылка</v>
      </c>
      <c r="I1047" s="5" t="s">
        <v>1090</v>
      </c>
    </row>
    <row r="1048" spans="1:9" s="4" customFormat="1" ht="38.1" customHeight="1" outlineLevel="1" x14ac:dyDescent="0.2">
      <c r="A1048" s="5" t="s">
        <v>340</v>
      </c>
      <c r="B1048" s="5" t="s">
        <v>354</v>
      </c>
      <c r="C1048" s="5" t="s">
        <v>1089</v>
      </c>
      <c r="D1048" s="5" t="s">
        <v>12</v>
      </c>
      <c r="E1048" s="5" t="s">
        <v>13</v>
      </c>
      <c r="F1048" s="5" t="s">
        <v>16</v>
      </c>
      <c r="G1048" s="6">
        <v>31500</v>
      </c>
      <c r="H1048" s="1041" t="str">
        <f>HYPERLINK("https://adv-map.ru/place/?LINK=e586c7738715d88cb02f54ede240a77f","Ссылка")</f>
        <v>Ссылка</v>
      </c>
      <c r="I1048" s="5" t="s">
        <v>1090</v>
      </c>
    </row>
    <row r="1049" spans="1:9" s="4" customFormat="1" ht="38.1" customHeight="1" outlineLevel="1" x14ac:dyDescent="0.2">
      <c r="A1049" s="5" t="s">
        <v>340</v>
      </c>
      <c r="B1049" s="5" t="s">
        <v>354</v>
      </c>
      <c r="C1049" s="5" t="s">
        <v>1091</v>
      </c>
      <c r="D1049" s="5" t="s">
        <v>12</v>
      </c>
      <c r="E1049" s="5" t="s">
        <v>13</v>
      </c>
      <c r="F1049" s="5" t="s">
        <v>14</v>
      </c>
      <c r="G1049" s="6">
        <v>50400</v>
      </c>
      <c r="H1049" s="1042" t="str">
        <f>HYPERLINK("https://adv-map.ru/place/?LINK=641c4557e932a3cfca8224d1972ec26a","Ссылка")</f>
        <v>Ссылка</v>
      </c>
      <c r="I1049" s="5" t="s">
        <v>1092</v>
      </c>
    </row>
    <row r="1050" spans="1:9" s="4" customFormat="1" ht="38.1" customHeight="1" outlineLevel="1" x14ac:dyDescent="0.2">
      <c r="A1050" s="5" t="s">
        <v>340</v>
      </c>
      <c r="B1050" s="5" t="s">
        <v>354</v>
      </c>
      <c r="C1050" s="5" t="s">
        <v>1091</v>
      </c>
      <c r="D1050" s="5" t="s">
        <v>12</v>
      </c>
      <c r="E1050" s="5" t="s">
        <v>13</v>
      </c>
      <c r="F1050" s="5" t="s">
        <v>16</v>
      </c>
      <c r="G1050" s="6">
        <v>37800</v>
      </c>
      <c r="H1050" s="1043" t="str">
        <f>HYPERLINK("https://adv-map.ru/place/?LINK=c7a707fecf8fdd64f348ff1b8897f8ea","Ссылка")</f>
        <v>Ссылка</v>
      </c>
      <c r="I1050" s="5" t="s">
        <v>1092</v>
      </c>
    </row>
    <row r="1051" spans="1:9" s="4" customFormat="1" ht="38.1" customHeight="1" outlineLevel="1" x14ac:dyDescent="0.2">
      <c r="A1051" s="5" t="s">
        <v>340</v>
      </c>
      <c r="B1051" s="5" t="s">
        <v>354</v>
      </c>
      <c r="C1051" s="5" t="s">
        <v>1093</v>
      </c>
      <c r="D1051" s="5" t="s">
        <v>12</v>
      </c>
      <c r="E1051" s="5" t="s">
        <v>13</v>
      </c>
      <c r="F1051" s="5" t="s">
        <v>14</v>
      </c>
      <c r="G1051" s="6">
        <v>44100</v>
      </c>
      <c r="H1051" s="1044" t="str">
        <f>HYPERLINK("https://adv-map.ru/place/?LINK=4c8cb26f689f1bb7777bcfccb08928a8","Ссылка")</f>
        <v>Ссылка</v>
      </c>
      <c r="I1051" s="5" t="s">
        <v>1094</v>
      </c>
    </row>
    <row r="1052" spans="1:9" s="4" customFormat="1" ht="38.1" customHeight="1" outlineLevel="1" x14ac:dyDescent="0.2">
      <c r="A1052" s="5" t="s">
        <v>340</v>
      </c>
      <c r="B1052" s="5" t="s">
        <v>354</v>
      </c>
      <c r="C1052" s="5" t="s">
        <v>1093</v>
      </c>
      <c r="D1052" s="5" t="s">
        <v>12</v>
      </c>
      <c r="E1052" s="5" t="s">
        <v>13</v>
      </c>
      <c r="F1052" s="5" t="s">
        <v>16</v>
      </c>
      <c r="G1052" s="6">
        <v>31500</v>
      </c>
      <c r="H1052" s="1045" t="str">
        <f>HYPERLINK("https://adv-map.ru/place/?LINK=c5482d379d630746df4afda157a3ddd7","Ссылка")</f>
        <v>Ссылка</v>
      </c>
      <c r="I1052" s="5" t="s">
        <v>1094</v>
      </c>
    </row>
    <row r="1053" spans="1:9" s="4" customFormat="1" ht="38.1" customHeight="1" outlineLevel="1" x14ac:dyDescent="0.2">
      <c r="A1053" s="5" t="s">
        <v>340</v>
      </c>
      <c r="B1053" s="5" t="s">
        <v>354</v>
      </c>
      <c r="C1053" s="5" t="s">
        <v>1095</v>
      </c>
      <c r="D1053" s="5" t="s">
        <v>49</v>
      </c>
      <c r="E1053" s="5" t="s">
        <v>13</v>
      </c>
      <c r="F1053" s="5" t="s">
        <v>28</v>
      </c>
      <c r="G1053" s="6">
        <v>44100</v>
      </c>
      <c r="H1053" s="1046" t="str">
        <f>HYPERLINK("https://adv-map.ru/place/?LINK=3fd5383d1918cd04b37d2d1322599649","Ссылка")</f>
        <v>Ссылка</v>
      </c>
      <c r="I1053" s="5" t="s">
        <v>1096</v>
      </c>
    </row>
    <row r="1054" spans="1:9" s="4" customFormat="1" ht="38.1" customHeight="1" outlineLevel="1" x14ac:dyDescent="0.2">
      <c r="A1054" s="5" t="s">
        <v>340</v>
      </c>
      <c r="B1054" s="5" t="s">
        <v>354</v>
      </c>
      <c r="C1054" s="5" t="s">
        <v>1095</v>
      </c>
      <c r="D1054" s="5" t="s">
        <v>49</v>
      </c>
      <c r="E1054" s="5" t="s">
        <v>13</v>
      </c>
      <c r="F1054" s="5" t="s">
        <v>30</v>
      </c>
      <c r="G1054" s="6">
        <v>44100</v>
      </c>
      <c r="H1054" s="1047" t="str">
        <f>HYPERLINK("https://adv-map.ru/place/?LINK=cf9fe090b7134814a5b487a58925f905","Ссылка")</f>
        <v>Ссылка</v>
      </c>
      <c r="I1054" s="5" t="s">
        <v>1096</v>
      </c>
    </row>
    <row r="1055" spans="1:9" s="4" customFormat="1" ht="51" customHeight="1" outlineLevel="1" x14ac:dyDescent="0.2">
      <c r="A1055" s="5" t="s">
        <v>340</v>
      </c>
      <c r="B1055" s="5" t="s">
        <v>354</v>
      </c>
      <c r="C1055" s="5" t="s">
        <v>1095</v>
      </c>
      <c r="D1055" s="5" t="s">
        <v>49</v>
      </c>
      <c r="E1055" s="5" t="s">
        <v>13</v>
      </c>
      <c r="F1055" s="5" t="s">
        <v>31</v>
      </c>
      <c r="G1055" s="6">
        <v>44100</v>
      </c>
      <c r="H1055" s="1048" t="str">
        <f>HYPERLINK("https://adv-map.ru/place/?LINK=537422962e2e4e1279be465270015aab","Ссылка")</f>
        <v>Ссылка</v>
      </c>
      <c r="I1055" s="5" t="s">
        <v>1096</v>
      </c>
    </row>
    <row r="1056" spans="1:9" s="4" customFormat="1" ht="38.1" customHeight="1" outlineLevel="1" x14ac:dyDescent="0.2">
      <c r="A1056" s="5" t="s">
        <v>340</v>
      </c>
      <c r="B1056" s="5" t="s">
        <v>354</v>
      </c>
      <c r="C1056" s="5" t="s">
        <v>1095</v>
      </c>
      <c r="D1056" s="5" t="s">
        <v>12</v>
      </c>
      <c r="E1056" s="5" t="s">
        <v>13</v>
      </c>
      <c r="F1056" s="5" t="s">
        <v>16</v>
      </c>
      <c r="G1056" s="6">
        <v>25200</v>
      </c>
      <c r="H1056" s="1049" t="str">
        <f>HYPERLINK("https://adv-map.ru/place/?LINK=b4739561d23024d3ffb9368960b29afc","Ссылка")</f>
        <v>Ссылка</v>
      </c>
      <c r="I1056" s="5" t="s">
        <v>1096</v>
      </c>
    </row>
    <row r="1057" spans="1:9" s="4" customFormat="1" ht="38.1" customHeight="1" outlineLevel="1" x14ac:dyDescent="0.2">
      <c r="A1057" s="5" t="s">
        <v>340</v>
      </c>
      <c r="B1057" s="5" t="s">
        <v>354</v>
      </c>
      <c r="C1057" s="5" t="s">
        <v>1097</v>
      </c>
      <c r="D1057" s="5" t="s">
        <v>49</v>
      </c>
      <c r="E1057" s="5" t="s">
        <v>13</v>
      </c>
      <c r="F1057" s="5" t="s">
        <v>28</v>
      </c>
      <c r="G1057" s="6">
        <v>44100</v>
      </c>
      <c r="H1057" s="1050" t="str">
        <f>HYPERLINK("https://adv-map.ru/place/?LINK=da31c37b9a46654410734f47de3ca2b4","Ссылка")</f>
        <v>Ссылка</v>
      </c>
      <c r="I1057" s="5" t="s">
        <v>1098</v>
      </c>
    </row>
    <row r="1058" spans="1:9" s="4" customFormat="1" ht="38.1" customHeight="1" outlineLevel="1" x14ac:dyDescent="0.2">
      <c r="A1058" s="5" t="s">
        <v>340</v>
      </c>
      <c r="B1058" s="5" t="s">
        <v>354</v>
      </c>
      <c r="C1058" s="5" t="s">
        <v>1097</v>
      </c>
      <c r="D1058" s="5" t="s">
        <v>49</v>
      </c>
      <c r="E1058" s="5" t="s">
        <v>13</v>
      </c>
      <c r="F1058" s="5" t="s">
        <v>30</v>
      </c>
      <c r="G1058" s="6">
        <v>44100</v>
      </c>
      <c r="H1058" s="1051" t="str">
        <f>HYPERLINK("https://adv-map.ru/place/?LINK=62f8926499819053fa868484410d9ad2","Ссылка")</f>
        <v>Ссылка</v>
      </c>
      <c r="I1058" s="5" t="s">
        <v>1098</v>
      </c>
    </row>
    <row r="1059" spans="1:9" s="4" customFormat="1" ht="38.1" customHeight="1" outlineLevel="1" x14ac:dyDescent="0.2">
      <c r="A1059" s="5" t="s">
        <v>340</v>
      </c>
      <c r="B1059" s="5" t="s">
        <v>354</v>
      </c>
      <c r="C1059" s="5" t="s">
        <v>1097</v>
      </c>
      <c r="D1059" s="5" t="s">
        <v>49</v>
      </c>
      <c r="E1059" s="5" t="s">
        <v>13</v>
      </c>
      <c r="F1059" s="5" t="s">
        <v>31</v>
      </c>
      <c r="G1059" s="6">
        <v>44100</v>
      </c>
      <c r="H1059" s="1052" t="str">
        <f>HYPERLINK("https://adv-map.ru/place/?LINK=4d4eb6d63bcd087473551305f56a80b0","Ссылка")</f>
        <v>Ссылка</v>
      </c>
      <c r="I1059" s="5" t="s">
        <v>1098</v>
      </c>
    </row>
    <row r="1060" spans="1:9" s="4" customFormat="1" ht="38.1" customHeight="1" outlineLevel="1" x14ac:dyDescent="0.2">
      <c r="A1060" s="5" t="s">
        <v>340</v>
      </c>
      <c r="B1060" s="5" t="s">
        <v>354</v>
      </c>
      <c r="C1060" s="5" t="s">
        <v>1097</v>
      </c>
      <c r="D1060" s="5" t="s">
        <v>12</v>
      </c>
      <c r="E1060" s="5" t="s">
        <v>13</v>
      </c>
      <c r="F1060" s="5" t="s">
        <v>16</v>
      </c>
      <c r="G1060" s="6">
        <v>25200</v>
      </c>
      <c r="H1060" s="1053" t="str">
        <f>HYPERLINK("https://adv-map.ru/place/?LINK=c3c297caeaa97a5d0a856532f6f8bd16","Ссылка")</f>
        <v>Ссылка</v>
      </c>
      <c r="I1060" s="5" t="s">
        <v>1098</v>
      </c>
    </row>
    <row r="1061" spans="1:9" s="4" customFormat="1" ht="38.1" customHeight="1" outlineLevel="1" x14ac:dyDescent="0.2">
      <c r="A1061" s="5" t="s">
        <v>340</v>
      </c>
      <c r="B1061" s="5" t="s">
        <v>354</v>
      </c>
      <c r="C1061" s="5" t="s">
        <v>1099</v>
      </c>
      <c r="D1061" s="5" t="s">
        <v>12</v>
      </c>
      <c r="E1061" s="5" t="s">
        <v>13</v>
      </c>
      <c r="F1061" s="5" t="s">
        <v>14</v>
      </c>
      <c r="G1061" s="6">
        <v>50000</v>
      </c>
      <c r="H1061" s="1054" t="str">
        <f>HYPERLINK("https://adv-map.ru/place/?LINK=e83ce2608a9a52ff96003978b44e42b8","Ссылка")</f>
        <v>Ссылка</v>
      </c>
      <c r="I1061" s="5" t="s">
        <v>1100</v>
      </c>
    </row>
    <row r="1062" spans="1:9" s="4" customFormat="1" ht="38.1" customHeight="1" outlineLevel="1" x14ac:dyDescent="0.2">
      <c r="A1062" s="5" t="s">
        <v>340</v>
      </c>
      <c r="B1062" s="5" t="s">
        <v>354</v>
      </c>
      <c r="C1062" s="5" t="s">
        <v>1099</v>
      </c>
      <c r="D1062" s="5" t="s">
        <v>12</v>
      </c>
      <c r="E1062" s="5" t="s">
        <v>13</v>
      </c>
      <c r="F1062" s="5" t="s">
        <v>16</v>
      </c>
      <c r="G1062" s="6">
        <v>50000</v>
      </c>
      <c r="H1062" s="1055" t="str">
        <f>HYPERLINK("https://adv-map.ru/place/?LINK=7ff100d58631078fc257e59653e81a0c","Ссылка")</f>
        <v>Ссылка</v>
      </c>
      <c r="I1062" s="5" t="s">
        <v>1100</v>
      </c>
    </row>
    <row r="1063" spans="1:9" s="4" customFormat="1" ht="38.1" customHeight="1" outlineLevel="1" x14ac:dyDescent="0.2">
      <c r="A1063" s="5" t="s">
        <v>340</v>
      </c>
      <c r="B1063" s="5" t="s">
        <v>354</v>
      </c>
      <c r="C1063" s="5" t="s">
        <v>1101</v>
      </c>
      <c r="D1063" s="5" t="s">
        <v>12</v>
      </c>
      <c r="E1063" s="5" t="s">
        <v>13</v>
      </c>
      <c r="F1063" s="5" t="s">
        <v>14</v>
      </c>
      <c r="G1063" s="6">
        <v>44100</v>
      </c>
      <c r="H1063" s="1056" t="str">
        <f>HYPERLINK("https://adv-map.ru/place/?LINK=2784741e5884fbbd6b1fff9179681948","Ссылка")</f>
        <v>Ссылка</v>
      </c>
      <c r="I1063" s="5" t="s">
        <v>1102</v>
      </c>
    </row>
    <row r="1064" spans="1:9" s="4" customFormat="1" ht="38.1" customHeight="1" outlineLevel="1" x14ac:dyDescent="0.2">
      <c r="A1064" s="5" t="s">
        <v>340</v>
      </c>
      <c r="B1064" s="5" t="s">
        <v>354</v>
      </c>
      <c r="C1064" s="5" t="s">
        <v>1101</v>
      </c>
      <c r="D1064" s="5" t="s">
        <v>12</v>
      </c>
      <c r="E1064" s="5" t="s">
        <v>13</v>
      </c>
      <c r="F1064" s="5" t="s">
        <v>16</v>
      </c>
      <c r="G1064" s="6">
        <v>31500</v>
      </c>
      <c r="H1064" s="1057" t="str">
        <f>HYPERLINK("https://adv-map.ru/place/?LINK=0087ffeabd95609f7adc9911916a2180","Ссылка")</f>
        <v>Ссылка</v>
      </c>
      <c r="I1064" s="5" t="s">
        <v>1102</v>
      </c>
    </row>
    <row r="1065" spans="1:9" s="4" customFormat="1" ht="38.1" customHeight="1" outlineLevel="1" x14ac:dyDescent="0.2">
      <c r="A1065" s="5" t="s">
        <v>340</v>
      </c>
      <c r="B1065" s="5" t="s">
        <v>354</v>
      </c>
      <c r="C1065" s="5" t="s">
        <v>1103</v>
      </c>
      <c r="D1065" s="5" t="s">
        <v>12</v>
      </c>
      <c r="E1065" s="5" t="s">
        <v>13</v>
      </c>
      <c r="F1065" s="5" t="s">
        <v>14</v>
      </c>
      <c r="G1065" s="6">
        <v>44100</v>
      </c>
      <c r="H1065" s="1058" t="str">
        <f>HYPERLINK("https://adv-map.ru/place/?LINK=3b1e1655c54900b4ee84622ceeb524ca","Ссылка")</f>
        <v>Ссылка</v>
      </c>
      <c r="I1065" s="5" t="s">
        <v>1104</v>
      </c>
    </row>
    <row r="1066" spans="1:9" s="4" customFormat="1" ht="38.1" customHeight="1" outlineLevel="1" x14ac:dyDescent="0.2">
      <c r="A1066" s="5" t="s">
        <v>340</v>
      </c>
      <c r="B1066" s="5" t="s">
        <v>354</v>
      </c>
      <c r="C1066" s="5" t="s">
        <v>1103</v>
      </c>
      <c r="D1066" s="5" t="s">
        <v>12</v>
      </c>
      <c r="E1066" s="5" t="s">
        <v>13</v>
      </c>
      <c r="F1066" s="5" t="s">
        <v>16</v>
      </c>
      <c r="G1066" s="6">
        <v>31500</v>
      </c>
      <c r="H1066" s="1059" t="str">
        <f>HYPERLINK("https://adv-map.ru/place/?LINK=6e155e9adba8dde6950f6da036b1461d","Ссылка")</f>
        <v>Ссылка</v>
      </c>
      <c r="I1066" s="5" t="s">
        <v>1104</v>
      </c>
    </row>
    <row r="1067" spans="1:9" s="4" customFormat="1" ht="38.1" customHeight="1" outlineLevel="1" x14ac:dyDescent="0.2">
      <c r="A1067" s="5" t="s">
        <v>340</v>
      </c>
      <c r="B1067" s="5" t="s">
        <v>652</v>
      </c>
      <c r="C1067" s="5" t="s">
        <v>1105</v>
      </c>
      <c r="D1067" s="5" t="s">
        <v>413</v>
      </c>
      <c r="E1067" s="5" t="s">
        <v>414</v>
      </c>
      <c r="F1067" s="5" t="s">
        <v>28</v>
      </c>
      <c r="G1067" s="6">
        <v>42000</v>
      </c>
      <c r="H1067" s="1060" t="str">
        <f>HYPERLINK("https://adv-map.ru/place/?LINK=a6a50e91a45154f5d089cb682a3bdccb","Ссылка")</f>
        <v>Ссылка</v>
      </c>
      <c r="I1067" s="5" t="s">
        <v>1106</v>
      </c>
    </row>
    <row r="1068" spans="1:9" s="4" customFormat="1" ht="38.1" customHeight="1" outlineLevel="1" x14ac:dyDescent="0.2">
      <c r="A1068" s="5" t="s">
        <v>340</v>
      </c>
      <c r="B1068" s="5" t="s">
        <v>652</v>
      </c>
      <c r="C1068" s="5" t="s">
        <v>1105</v>
      </c>
      <c r="D1068" s="5" t="s">
        <v>413</v>
      </c>
      <c r="E1068" s="5" t="s">
        <v>414</v>
      </c>
      <c r="F1068" s="5" t="s">
        <v>30</v>
      </c>
      <c r="G1068" s="6">
        <v>42000</v>
      </c>
      <c r="H1068" s="1061" t="str">
        <f>HYPERLINK("https://adv-map.ru/place/?LINK=3fe099bb22ee540509b2a7a9c1847629","Ссылка")</f>
        <v>Ссылка</v>
      </c>
      <c r="I1068" s="5" t="s">
        <v>1106</v>
      </c>
    </row>
    <row r="1069" spans="1:9" s="4" customFormat="1" ht="38.1" customHeight="1" outlineLevel="1" x14ac:dyDescent="0.2">
      <c r="A1069" s="5" t="s">
        <v>340</v>
      </c>
      <c r="B1069" s="5" t="s">
        <v>652</v>
      </c>
      <c r="C1069" s="5" t="s">
        <v>1105</v>
      </c>
      <c r="D1069" s="5" t="s">
        <v>413</v>
      </c>
      <c r="E1069" s="5" t="s">
        <v>414</v>
      </c>
      <c r="F1069" s="5" t="s">
        <v>31</v>
      </c>
      <c r="G1069" s="6">
        <v>42000</v>
      </c>
      <c r="H1069" s="1062" t="str">
        <f>HYPERLINK("https://adv-map.ru/place/?LINK=e1dba8d63376cc139bb038f5c7d64859","Ссылка")</f>
        <v>Ссылка</v>
      </c>
      <c r="I1069" s="5" t="s">
        <v>1106</v>
      </c>
    </row>
    <row r="1070" spans="1:9" s="4" customFormat="1" ht="38.1" customHeight="1" outlineLevel="1" x14ac:dyDescent="0.2">
      <c r="A1070" s="5" t="s">
        <v>340</v>
      </c>
      <c r="B1070" s="5" t="s">
        <v>652</v>
      </c>
      <c r="C1070" s="5" t="s">
        <v>1107</v>
      </c>
      <c r="D1070" s="5" t="s">
        <v>43</v>
      </c>
      <c r="E1070" s="5" t="s">
        <v>986</v>
      </c>
      <c r="F1070" s="5" t="s">
        <v>16</v>
      </c>
      <c r="G1070" s="6">
        <v>25200</v>
      </c>
      <c r="H1070" s="1063" t="str">
        <f>HYPERLINK("https://adv-map.ru/place/?LINK=8b5aaa8557c2fcc3cbb84ca348cc5578","Ссылка")</f>
        <v>Ссылка</v>
      </c>
      <c r="I1070" s="5" t="s">
        <v>1106</v>
      </c>
    </row>
    <row r="1071" spans="1:9" s="4" customFormat="1" ht="38.1" customHeight="1" outlineLevel="1" x14ac:dyDescent="0.2">
      <c r="A1071" s="5" t="s">
        <v>340</v>
      </c>
      <c r="B1071" s="5" t="s">
        <v>652</v>
      </c>
      <c r="C1071" s="5" t="s">
        <v>1108</v>
      </c>
      <c r="D1071" s="5" t="s">
        <v>351</v>
      </c>
      <c r="E1071" s="5" t="s">
        <v>352</v>
      </c>
      <c r="F1071" s="5" t="s">
        <v>14</v>
      </c>
      <c r="G1071" s="6">
        <v>252000</v>
      </c>
      <c r="H1071" s="1064" t="str">
        <f>HYPERLINK("https://adv-map.ru/place/?LINK=4e12b657288b6a22154b9850f599ee68","Ссылка")</f>
        <v>Ссылка</v>
      </c>
      <c r="I1071" s="5" t="s">
        <v>1109</v>
      </c>
    </row>
    <row r="1072" spans="1:9" s="4" customFormat="1" ht="38.1" customHeight="1" outlineLevel="1" x14ac:dyDescent="0.2">
      <c r="A1072" s="5" t="s">
        <v>340</v>
      </c>
      <c r="B1072" s="5" t="s">
        <v>652</v>
      </c>
      <c r="C1072" s="5" t="s">
        <v>1110</v>
      </c>
      <c r="D1072" s="5" t="s">
        <v>351</v>
      </c>
      <c r="E1072" s="5" t="s">
        <v>352</v>
      </c>
      <c r="F1072" s="5" t="s">
        <v>16</v>
      </c>
      <c r="G1072" s="6">
        <v>189000</v>
      </c>
      <c r="H1072" s="1065" t="str">
        <f>HYPERLINK("https://adv-map.ru/place/?LINK=7009ac62150f99af3840048ebdc64e84","Ссылка")</f>
        <v>Ссылка</v>
      </c>
      <c r="I1072" s="5" t="s">
        <v>1109</v>
      </c>
    </row>
    <row r="1073" spans="1:9" s="4" customFormat="1" ht="38.1" customHeight="1" outlineLevel="1" x14ac:dyDescent="0.2">
      <c r="A1073" s="5" t="s">
        <v>340</v>
      </c>
      <c r="B1073" s="5" t="s">
        <v>345</v>
      </c>
      <c r="C1073" s="5" t="s">
        <v>1111</v>
      </c>
      <c r="D1073" s="5" t="s">
        <v>347</v>
      </c>
      <c r="E1073" s="5" t="s">
        <v>348</v>
      </c>
      <c r="F1073" s="5" t="s">
        <v>14</v>
      </c>
      <c r="G1073" s="6">
        <v>25200</v>
      </c>
      <c r="H1073" s="1066" t="str">
        <f>HYPERLINK("https://adv-map.ru/place/?LINK=8698aa9d9ba44ff38e7d43711f4c615c","Ссылка")</f>
        <v>Ссылка</v>
      </c>
      <c r="I1073" s="5" t="s">
        <v>1112</v>
      </c>
    </row>
    <row r="1074" spans="1:9" s="4" customFormat="1" ht="38.1" customHeight="1" outlineLevel="1" x14ac:dyDescent="0.2">
      <c r="A1074" s="5" t="s">
        <v>340</v>
      </c>
      <c r="B1074" s="5" t="s">
        <v>345</v>
      </c>
      <c r="C1074" s="5" t="s">
        <v>1111</v>
      </c>
      <c r="D1074" s="5" t="s">
        <v>347</v>
      </c>
      <c r="E1074" s="5" t="s">
        <v>348</v>
      </c>
      <c r="F1074" s="5" t="s">
        <v>16</v>
      </c>
      <c r="G1074" s="6">
        <v>20160</v>
      </c>
      <c r="H1074" s="1067" t="str">
        <f>HYPERLINK("https://adv-map.ru/place/?LINK=58fecf0f7f00684969264a6f7669e27e","Ссылка")</f>
        <v>Ссылка</v>
      </c>
      <c r="I1074" s="5" t="s">
        <v>1113</v>
      </c>
    </row>
    <row r="1075" spans="1:9" s="4" customFormat="1" ht="38.1" customHeight="1" outlineLevel="1" x14ac:dyDescent="0.2">
      <c r="A1075" s="5" t="s">
        <v>340</v>
      </c>
      <c r="B1075" s="5" t="s">
        <v>345</v>
      </c>
      <c r="C1075" s="5" t="s">
        <v>1114</v>
      </c>
      <c r="D1075" s="5" t="s">
        <v>347</v>
      </c>
      <c r="E1075" s="5" t="s">
        <v>348</v>
      </c>
      <c r="F1075" s="5" t="s">
        <v>14</v>
      </c>
      <c r="G1075" s="6">
        <v>25200</v>
      </c>
      <c r="H1075" s="1068" t="str">
        <f>HYPERLINK("https://adv-map.ru/place/?LINK=f8790727316b6da43d1617fdfb647c2c","Ссылка")</f>
        <v>Ссылка</v>
      </c>
      <c r="I1075" s="5" t="s">
        <v>1115</v>
      </c>
    </row>
    <row r="1076" spans="1:9" s="4" customFormat="1" ht="38.1" customHeight="1" outlineLevel="1" x14ac:dyDescent="0.2">
      <c r="A1076" s="5" t="s">
        <v>340</v>
      </c>
      <c r="B1076" s="5" t="s">
        <v>345</v>
      </c>
      <c r="C1076" s="5" t="s">
        <v>1114</v>
      </c>
      <c r="D1076" s="5" t="s">
        <v>347</v>
      </c>
      <c r="E1076" s="5" t="s">
        <v>348</v>
      </c>
      <c r="F1076" s="5" t="s">
        <v>16</v>
      </c>
      <c r="G1076" s="6">
        <v>20160</v>
      </c>
      <c r="H1076" s="1069" t="str">
        <f>HYPERLINK("https://adv-map.ru/place/?LINK=ceeef2e172d234fd751cb7702a4077f6","Ссылка")</f>
        <v>Ссылка</v>
      </c>
      <c r="I1076" s="5" t="s">
        <v>1116</v>
      </c>
    </row>
    <row r="1077" spans="1:9" s="4" customFormat="1" ht="51" customHeight="1" outlineLevel="1" x14ac:dyDescent="0.2">
      <c r="A1077" s="5" t="s">
        <v>340</v>
      </c>
      <c r="B1077" s="5" t="s">
        <v>652</v>
      </c>
      <c r="C1077" s="5" t="s">
        <v>1117</v>
      </c>
      <c r="D1077" s="5" t="s">
        <v>49</v>
      </c>
      <c r="E1077" s="5" t="s">
        <v>13</v>
      </c>
      <c r="F1077" s="5" t="s">
        <v>28</v>
      </c>
      <c r="G1077" s="6">
        <v>56700</v>
      </c>
      <c r="H1077" s="1070" t="str">
        <f>HYPERLINK("https://adv-map.ru/place/?LINK=6b6b23f350a304e1850b6946229963a3","Ссылка")</f>
        <v>Ссылка</v>
      </c>
      <c r="I1077" s="5" t="s">
        <v>1118</v>
      </c>
    </row>
    <row r="1078" spans="1:9" s="4" customFormat="1" ht="38.1" customHeight="1" outlineLevel="1" x14ac:dyDescent="0.2">
      <c r="A1078" s="5" t="s">
        <v>340</v>
      </c>
      <c r="B1078" s="5" t="s">
        <v>652</v>
      </c>
      <c r="C1078" s="5" t="s">
        <v>1117</v>
      </c>
      <c r="D1078" s="5" t="s">
        <v>49</v>
      </c>
      <c r="E1078" s="5" t="s">
        <v>13</v>
      </c>
      <c r="F1078" s="5" t="s">
        <v>30</v>
      </c>
      <c r="G1078" s="6">
        <v>56700</v>
      </c>
      <c r="H1078" s="1071" t="str">
        <f>HYPERLINK("https://adv-map.ru/place/?LINK=7c6f0de222ec69573faef49b9f16a6c8","Ссылка")</f>
        <v>Ссылка</v>
      </c>
      <c r="I1078" s="5" t="s">
        <v>1119</v>
      </c>
    </row>
    <row r="1079" spans="1:9" s="4" customFormat="1" ht="38.1" customHeight="1" outlineLevel="1" x14ac:dyDescent="0.2">
      <c r="A1079" s="5" t="s">
        <v>340</v>
      </c>
      <c r="B1079" s="5" t="s">
        <v>652</v>
      </c>
      <c r="C1079" s="5" t="s">
        <v>1117</v>
      </c>
      <c r="D1079" s="5" t="s">
        <v>49</v>
      </c>
      <c r="E1079" s="5" t="s">
        <v>13</v>
      </c>
      <c r="F1079" s="5" t="s">
        <v>31</v>
      </c>
      <c r="G1079" s="6">
        <v>56700</v>
      </c>
      <c r="H1079" s="1072" t="str">
        <f>HYPERLINK("https://adv-map.ru/place/?LINK=ad41067d8780ae2c9f24115207564b98","Ссылка")</f>
        <v>Ссылка</v>
      </c>
      <c r="I1079" s="5" t="s">
        <v>1118</v>
      </c>
    </row>
    <row r="1080" spans="1:9" s="4" customFormat="1" ht="38.1" customHeight="1" outlineLevel="1" x14ac:dyDescent="0.2">
      <c r="A1080" s="5" t="s">
        <v>340</v>
      </c>
      <c r="B1080" s="5" t="s">
        <v>652</v>
      </c>
      <c r="C1080" s="5" t="s">
        <v>1117</v>
      </c>
      <c r="D1080" s="5" t="s">
        <v>12</v>
      </c>
      <c r="E1080" s="5" t="s">
        <v>13</v>
      </c>
      <c r="F1080" s="5" t="s">
        <v>16</v>
      </c>
      <c r="G1080" s="6">
        <v>25200</v>
      </c>
      <c r="H1080" s="1073" t="str">
        <f>HYPERLINK("https://adv-map.ru/place/?LINK=efff4e589d3b7198dea2e5194f4b120d","Ссылка")</f>
        <v>Ссылка</v>
      </c>
      <c r="I1080" s="5" t="s">
        <v>1118</v>
      </c>
    </row>
    <row r="1081" spans="1:9" s="4" customFormat="1" ht="38.1" customHeight="1" outlineLevel="1" x14ac:dyDescent="0.2">
      <c r="A1081" s="5" t="s">
        <v>340</v>
      </c>
      <c r="B1081" s="5" t="s">
        <v>345</v>
      </c>
      <c r="C1081" s="5" t="s">
        <v>1120</v>
      </c>
      <c r="D1081" s="5" t="s">
        <v>49</v>
      </c>
      <c r="E1081" s="5" t="s">
        <v>13</v>
      </c>
      <c r="F1081" s="5" t="s">
        <v>30</v>
      </c>
      <c r="G1081" s="6">
        <v>56700</v>
      </c>
      <c r="H1081" s="1074" t="str">
        <f>HYPERLINK("https://adv-map.ru/place/?LINK=b3dbdc4ac869b41568a465a3f2f272b2","Ссылка")</f>
        <v>Ссылка</v>
      </c>
      <c r="I1081" s="5" t="s">
        <v>1121</v>
      </c>
    </row>
    <row r="1082" spans="1:9" s="4" customFormat="1" ht="38.1" customHeight="1" outlineLevel="1" x14ac:dyDescent="0.2">
      <c r="A1082" s="5" t="s">
        <v>340</v>
      </c>
      <c r="B1082" s="5" t="s">
        <v>345</v>
      </c>
      <c r="C1082" s="5" t="s">
        <v>1120</v>
      </c>
      <c r="D1082" s="5" t="s">
        <v>49</v>
      </c>
      <c r="E1082" s="5" t="s">
        <v>13</v>
      </c>
      <c r="F1082" s="5" t="s">
        <v>31</v>
      </c>
      <c r="G1082" s="6">
        <v>56700</v>
      </c>
      <c r="H1082" s="1075" t="str">
        <f>HYPERLINK("https://adv-map.ru/place/?LINK=f982ab0ad82b488abc122ac02d3f03d2","Ссылка")</f>
        <v>Ссылка</v>
      </c>
      <c r="I1082" s="5" t="s">
        <v>1121</v>
      </c>
    </row>
    <row r="1083" spans="1:9" s="4" customFormat="1" ht="38.1" customHeight="1" outlineLevel="1" x14ac:dyDescent="0.2">
      <c r="A1083" s="5" t="s">
        <v>340</v>
      </c>
      <c r="B1083" s="5" t="s">
        <v>345</v>
      </c>
      <c r="C1083" s="5" t="s">
        <v>1120</v>
      </c>
      <c r="D1083" s="5" t="s">
        <v>12</v>
      </c>
      <c r="E1083" s="5" t="s">
        <v>13</v>
      </c>
      <c r="F1083" s="5" t="s">
        <v>16</v>
      </c>
      <c r="G1083" s="6">
        <v>25200</v>
      </c>
      <c r="H1083" s="1076" t="str">
        <f>HYPERLINK("https://adv-map.ru/place/?LINK=5d28e7c6995af271565ed32627dfcb5d","Ссылка")</f>
        <v>Ссылка</v>
      </c>
      <c r="I1083" s="5" t="s">
        <v>1121</v>
      </c>
    </row>
    <row r="1084" spans="1:9" s="4" customFormat="1" ht="38.1" customHeight="1" outlineLevel="1" x14ac:dyDescent="0.2">
      <c r="A1084" s="5" t="s">
        <v>340</v>
      </c>
      <c r="B1084" s="5" t="s">
        <v>652</v>
      </c>
      <c r="C1084" s="5" t="s">
        <v>1122</v>
      </c>
      <c r="D1084" s="5" t="s">
        <v>396</v>
      </c>
      <c r="E1084" s="5" t="s">
        <v>397</v>
      </c>
      <c r="F1084" s="5" t="s">
        <v>28</v>
      </c>
      <c r="G1084" s="6">
        <v>35280</v>
      </c>
      <c r="H1084" s="1077" t="str">
        <f>HYPERLINK("https://adv-map.ru/place/?LINK=19802c823206ecdb4696ab67afa15cd1","Ссылка")</f>
        <v>Ссылка</v>
      </c>
      <c r="I1084" s="5" t="s">
        <v>1123</v>
      </c>
    </row>
    <row r="1085" spans="1:9" s="4" customFormat="1" ht="38.1" customHeight="1" outlineLevel="1" x14ac:dyDescent="0.2">
      <c r="A1085" s="5" t="s">
        <v>340</v>
      </c>
      <c r="B1085" s="5" t="s">
        <v>652</v>
      </c>
      <c r="C1085" s="5" t="s">
        <v>1122</v>
      </c>
      <c r="D1085" s="5" t="s">
        <v>396</v>
      </c>
      <c r="E1085" s="5" t="s">
        <v>397</v>
      </c>
      <c r="F1085" s="5" t="s">
        <v>30</v>
      </c>
      <c r="G1085" s="6">
        <v>30240</v>
      </c>
      <c r="H1085" s="1078" t="str">
        <f>HYPERLINK("https://adv-map.ru/place/?LINK=86494c9bd7774689ff147bbb1a283639","Ссылка")</f>
        <v>Ссылка</v>
      </c>
      <c r="I1085" s="5" t="s">
        <v>1123</v>
      </c>
    </row>
    <row r="1086" spans="1:9" s="4" customFormat="1" ht="38.1" customHeight="1" outlineLevel="1" x14ac:dyDescent="0.2">
      <c r="A1086" s="5" t="s">
        <v>340</v>
      </c>
      <c r="B1086" s="5" t="s">
        <v>652</v>
      </c>
      <c r="C1086" s="5" t="s">
        <v>1122</v>
      </c>
      <c r="D1086" s="5" t="s">
        <v>396</v>
      </c>
      <c r="E1086" s="5" t="s">
        <v>397</v>
      </c>
      <c r="F1086" s="5" t="s">
        <v>31</v>
      </c>
      <c r="G1086" s="6">
        <v>25200</v>
      </c>
      <c r="H1086" s="1079" t="str">
        <f>HYPERLINK("https://adv-map.ru/place/?LINK=ec259ecb52b61b48edfc54d0445f70b6","Ссылка")</f>
        <v>Ссылка</v>
      </c>
      <c r="I1086" s="5" t="s">
        <v>1123</v>
      </c>
    </row>
    <row r="1087" spans="1:9" s="4" customFormat="1" ht="38.1" customHeight="1" outlineLevel="1" x14ac:dyDescent="0.2">
      <c r="A1087" s="5" t="s">
        <v>340</v>
      </c>
      <c r="B1087" s="5" t="s">
        <v>345</v>
      </c>
      <c r="C1087" s="5" t="s">
        <v>1124</v>
      </c>
      <c r="D1087" s="5" t="s">
        <v>347</v>
      </c>
      <c r="E1087" s="5" t="s">
        <v>348</v>
      </c>
      <c r="F1087" s="5" t="s">
        <v>14</v>
      </c>
      <c r="G1087" s="6">
        <v>25200</v>
      </c>
      <c r="H1087" s="1080" t="str">
        <f>HYPERLINK("https://adv-map.ru/place/?LINK=bb4630ab4dea7eb4657416bc14fe44bd","Ссылка")</f>
        <v>Ссылка</v>
      </c>
      <c r="I1087" s="5" t="s">
        <v>1125</v>
      </c>
    </row>
    <row r="1088" spans="1:9" s="4" customFormat="1" ht="38.1" customHeight="1" outlineLevel="1" x14ac:dyDescent="0.2">
      <c r="A1088" s="5" t="s">
        <v>340</v>
      </c>
      <c r="B1088" s="5" t="s">
        <v>345</v>
      </c>
      <c r="C1088" s="5" t="s">
        <v>1124</v>
      </c>
      <c r="D1088" s="5" t="s">
        <v>347</v>
      </c>
      <c r="E1088" s="5" t="s">
        <v>348</v>
      </c>
      <c r="F1088" s="5" t="s">
        <v>16</v>
      </c>
      <c r="G1088" s="6">
        <v>20160</v>
      </c>
      <c r="H1088" s="1081" t="str">
        <f>HYPERLINK("https://adv-map.ru/place/?LINK=35c6595f27da4a96e8446bafd7a786da","Ссылка")</f>
        <v>Ссылка</v>
      </c>
      <c r="I1088" s="5" t="s">
        <v>1125</v>
      </c>
    </row>
    <row r="1089" spans="1:9" s="4" customFormat="1" ht="38.1" customHeight="1" outlineLevel="1" x14ac:dyDescent="0.2">
      <c r="A1089" s="5" t="s">
        <v>340</v>
      </c>
      <c r="B1089" s="5" t="s">
        <v>345</v>
      </c>
      <c r="C1089" s="5" t="s">
        <v>1126</v>
      </c>
      <c r="D1089" s="5" t="s">
        <v>49</v>
      </c>
      <c r="E1089" s="5" t="s">
        <v>13</v>
      </c>
      <c r="F1089" s="5" t="s">
        <v>28</v>
      </c>
      <c r="G1089" s="6">
        <v>56700</v>
      </c>
      <c r="H1089" s="1082" t="str">
        <f>HYPERLINK("https://adv-map.ru/place/?LINK=ddd3cdd73410f0b61eb23e0f4986f632","Ссылка")</f>
        <v>Ссылка</v>
      </c>
      <c r="I1089" s="5" t="s">
        <v>1121</v>
      </c>
    </row>
    <row r="1090" spans="1:9" s="4" customFormat="1" ht="38.1" customHeight="1" outlineLevel="1" x14ac:dyDescent="0.2">
      <c r="A1090" s="5" t="s">
        <v>340</v>
      </c>
      <c r="B1090" s="5" t="s">
        <v>652</v>
      </c>
      <c r="C1090" s="5" t="s">
        <v>1127</v>
      </c>
      <c r="D1090" s="5" t="s">
        <v>413</v>
      </c>
      <c r="E1090" s="5" t="s">
        <v>414</v>
      </c>
      <c r="F1090" s="5" t="s">
        <v>28</v>
      </c>
      <c r="G1090" s="6">
        <v>47250</v>
      </c>
      <c r="H1090" s="1083" t="str">
        <f>HYPERLINK("https://adv-map.ru/place/?LINK=6af2a451da04fb02b81bd6561796da4e","Ссылка")</f>
        <v>Ссылка</v>
      </c>
      <c r="I1090" s="5" t="s">
        <v>1128</v>
      </c>
    </row>
    <row r="1091" spans="1:9" s="4" customFormat="1" ht="38.1" customHeight="1" outlineLevel="1" x14ac:dyDescent="0.2">
      <c r="A1091" s="5" t="s">
        <v>340</v>
      </c>
      <c r="B1091" s="5" t="s">
        <v>652</v>
      </c>
      <c r="C1091" s="5" t="s">
        <v>1127</v>
      </c>
      <c r="D1091" s="5" t="s">
        <v>413</v>
      </c>
      <c r="E1091" s="5" t="s">
        <v>414</v>
      </c>
      <c r="F1091" s="5" t="s">
        <v>30</v>
      </c>
      <c r="G1091" s="6">
        <v>47250</v>
      </c>
      <c r="H1091" s="1084" t="str">
        <f>HYPERLINK("https://adv-map.ru/place/?LINK=939a76a80c19cef0d481347fb8b620f8","Ссылка")</f>
        <v>Ссылка</v>
      </c>
      <c r="I1091" s="5" t="s">
        <v>1128</v>
      </c>
    </row>
    <row r="1092" spans="1:9" s="4" customFormat="1" ht="38.1" customHeight="1" outlineLevel="1" x14ac:dyDescent="0.2">
      <c r="A1092" s="5" t="s">
        <v>340</v>
      </c>
      <c r="B1092" s="5" t="s">
        <v>652</v>
      </c>
      <c r="C1092" s="5" t="s">
        <v>1127</v>
      </c>
      <c r="D1092" s="5" t="s">
        <v>413</v>
      </c>
      <c r="E1092" s="5" t="s">
        <v>414</v>
      </c>
      <c r="F1092" s="5" t="s">
        <v>31</v>
      </c>
      <c r="G1092" s="6">
        <v>47250</v>
      </c>
      <c r="H1092" s="1085" t="str">
        <f>HYPERLINK("https://adv-map.ru/place/?LINK=a40a6822a8266d8a278aa29590981acf","Ссылка")</f>
        <v>Ссылка</v>
      </c>
      <c r="I1092" s="5" t="s">
        <v>1128</v>
      </c>
    </row>
    <row r="1093" spans="1:9" s="4" customFormat="1" ht="38.1" customHeight="1" outlineLevel="1" x14ac:dyDescent="0.2">
      <c r="A1093" s="5" t="s">
        <v>340</v>
      </c>
      <c r="B1093" s="5" t="s">
        <v>652</v>
      </c>
      <c r="C1093" s="5" t="s">
        <v>1129</v>
      </c>
      <c r="D1093" s="5" t="s">
        <v>12</v>
      </c>
      <c r="E1093" s="5" t="s">
        <v>414</v>
      </c>
      <c r="F1093" s="5" t="s">
        <v>16</v>
      </c>
      <c r="G1093" s="6">
        <v>18900</v>
      </c>
      <c r="H1093" s="1086" t="str">
        <f>HYPERLINK("https://adv-map.ru/place/?LINK=17f1664db988d061291453a192e154fc","Ссылка")</f>
        <v>Ссылка</v>
      </c>
      <c r="I1093" s="5" t="s">
        <v>1130</v>
      </c>
    </row>
    <row r="1094" spans="1:9" s="4" customFormat="1" ht="51" customHeight="1" outlineLevel="1" x14ac:dyDescent="0.2">
      <c r="A1094" s="5" t="s">
        <v>340</v>
      </c>
      <c r="B1094" s="5" t="s">
        <v>652</v>
      </c>
      <c r="C1094" s="5" t="s">
        <v>1131</v>
      </c>
      <c r="D1094" s="5" t="s">
        <v>393</v>
      </c>
      <c r="E1094" s="5" t="s">
        <v>348</v>
      </c>
      <c r="F1094" s="5" t="s">
        <v>14</v>
      </c>
      <c r="G1094" s="6">
        <v>31500</v>
      </c>
      <c r="H1094" s="1087" t="str">
        <f>HYPERLINK("https://adv-map.ru/place/?LINK=50d4d84d3cf2232d84b74ac38ce14a02","Ссылка")</f>
        <v>Ссылка</v>
      </c>
      <c r="I1094" s="5" t="s">
        <v>1132</v>
      </c>
    </row>
    <row r="1095" spans="1:9" s="4" customFormat="1" ht="51" customHeight="1" outlineLevel="1" x14ac:dyDescent="0.2">
      <c r="A1095" s="5" t="s">
        <v>340</v>
      </c>
      <c r="B1095" s="5" t="s">
        <v>652</v>
      </c>
      <c r="C1095" s="5" t="s">
        <v>1131</v>
      </c>
      <c r="D1095" s="5" t="s">
        <v>393</v>
      </c>
      <c r="E1095" s="5" t="s">
        <v>348</v>
      </c>
      <c r="F1095" s="5" t="s">
        <v>16</v>
      </c>
      <c r="G1095" s="6">
        <v>27300</v>
      </c>
      <c r="H1095" s="1088" t="str">
        <f>HYPERLINK("https://adv-map.ru/place/?LINK=cef2e3c33ac29938b0c8b1a61e7ec42a","Ссылка")</f>
        <v>Ссылка</v>
      </c>
      <c r="I1095" s="5" t="s">
        <v>1132</v>
      </c>
    </row>
    <row r="1096" spans="1:9" s="4" customFormat="1" ht="51" customHeight="1" outlineLevel="1" x14ac:dyDescent="0.2">
      <c r="A1096" s="5" t="s">
        <v>340</v>
      </c>
      <c r="B1096" s="5" t="s">
        <v>365</v>
      </c>
      <c r="C1096" s="5" t="s">
        <v>1133</v>
      </c>
      <c r="D1096" s="5" t="s">
        <v>347</v>
      </c>
      <c r="E1096" s="5" t="s">
        <v>348</v>
      </c>
      <c r="F1096" s="5" t="s">
        <v>14</v>
      </c>
      <c r="G1096" s="6">
        <v>22680</v>
      </c>
      <c r="H1096" s="1089" t="str">
        <f>HYPERLINK("https://adv-map.ru/place/?LINK=6cce639b82964e682d91873e8245d8b5","Ссылка")</f>
        <v>Ссылка</v>
      </c>
      <c r="I1096" s="5" t="s">
        <v>1134</v>
      </c>
    </row>
    <row r="1097" spans="1:9" s="4" customFormat="1" ht="38.1" customHeight="1" outlineLevel="1" x14ac:dyDescent="0.2">
      <c r="A1097" s="5" t="s">
        <v>340</v>
      </c>
      <c r="B1097" s="5" t="s">
        <v>365</v>
      </c>
      <c r="C1097" s="5" t="s">
        <v>1133</v>
      </c>
      <c r="D1097" s="5" t="s">
        <v>347</v>
      </c>
      <c r="E1097" s="5" t="s">
        <v>348</v>
      </c>
      <c r="F1097" s="5" t="s">
        <v>16</v>
      </c>
      <c r="G1097" s="6">
        <v>15120</v>
      </c>
      <c r="H1097" s="1090" t="str">
        <f>HYPERLINK("https://adv-map.ru/place/?LINK=c143a6650a57dd73eed6e53ee262bc58","Ссылка")</f>
        <v>Ссылка</v>
      </c>
      <c r="I1097" s="5" t="s">
        <v>1135</v>
      </c>
    </row>
    <row r="1098" spans="1:9" s="4" customFormat="1" ht="38.1" customHeight="1" outlineLevel="1" x14ac:dyDescent="0.2">
      <c r="A1098" s="5" t="s">
        <v>340</v>
      </c>
      <c r="B1098" s="5" t="s">
        <v>345</v>
      </c>
      <c r="C1098" s="5" t="s">
        <v>1136</v>
      </c>
      <c r="D1098" s="5" t="s">
        <v>12</v>
      </c>
      <c r="E1098" s="5" t="s">
        <v>13</v>
      </c>
      <c r="F1098" s="5" t="s">
        <v>14</v>
      </c>
      <c r="G1098" s="6">
        <v>36750</v>
      </c>
      <c r="H1098" s="1091" t="str">
        <f>HYPERLINK("https://adv-map.ru/place/?LINK=f2249f295370a987c4275b2288b7fe31","Ссылка")</f>
        <v>Ссылка</v>
      </c>
      <c r="I1098" s="5" t="s">
        <v>1137</v>
      </c>
    </row>
    <row r="1099" spans="1:9" s="4" customFormat="1" ht="38.1" customHeight="1" outlineLevel="1" x14ac:dyDescent="0.2">
      <c r="A1099" s="5" t="s">
        <v>340</v>
      </c>
      <c r="B1099" s="5" t="s">
        <v>345</v>
      </c>
      <c r="C1099" s="5" t="s">
        <v>1136</v>
      </c>
      <c r="D1099" s="5" t="s">
        <v>12</v>
      </c>
      <c r="E1099" s="5" t="s">
        <v>13</v>
      </c>
      <c r="F1099" s="5" t="s">
        <v>16</v>
      </c>
      <c r="G1099" s="6">
        <v>31500</v>
      </c>
      <c r="H1099" s="1092" t="str">
        <f>HYPERLINK("https://adv-map.ru/place/?LINK=fd1cda0684850be0b56e2645cf747175","Ссылка")</f>
        <v>Ссылка</v>
      </c>
      <c r="I1099" s="5" t="s">
        <v>1137</v>
      </c>
    </row>
    <row r="1100" spans="1:9" s="4" customFormat="1" ht="38.1" customHeight="1" outlineLevel="1" x14ac:dyDescent="0.2">
      <c r="A1100" s="5" t="s">
        <v>340</v>
      </c>
      <c r="B1100" s="5" t="s">
        <v>134</v>
      </c>
      <c r="C1100" s="5" t="s">
        <v>1138</v>
      </c>
      <c r="D1100" s="5" t="s">
        <v>12</v>
      </c>
      <c r="E1100" s="5" t="s">
        <v>13</v>
      </c>
      <c r="F1100" s="5" t="s">
        <v>14</v>
      </c>
      <c r="G1100" s="6">
        <v>36750</v>
      </c>
      <c r="H1100" s="1093" t="str">
        <f>HYPERLINK("https://adv-map.ru/place/?LINK=41111566f41ef3bee6142c9e46744a36","Ссылка")</f>
        <v>Ссылка</v>
      </c>
      <c r="I1100" s="5" t="s">
        <v>1139</v>
      </c>
    </row>
    <row r="1101" spans="1:9" s="4" customFormat="1" ht="38.1" customHeight="1" outlineLevel="1" x14ac:dyDescent="0.2">
      <c r="A1101" s="5" t="s">
        <v>340</v>
      </c>
      <c r="B1101" s="5" t="s">
        <v>134</v>
      </c>
      <c r="C1101" s="5" t="s">
        <v>1138</v>
      </c>
      <c r="D1101" s="5" t="s">
        <v>12</v>
      </c>
      <c r="E1101" s="5" t="s">
        <v>13</v>
      </c>
      <c r="F1101" s="5" t="s">
        <v>16</v>
      </c>
      <c r="G1101" s="6">
        <v>31500</v>
      </c>
      <c r="H1101" s="1094" t="str">
        <f>HYPERLINK("https://adv-map.ru/place/?LINK=ea33b85a16207ae30be9ae6119514ef1","Ссылка")</f>
        <v>Ссылка</v>
      </c>
      <c r="I1101" s="5" t="s">
        <v>1139</v>
      </c>
    </row>
    <row r="1102" spans="1:9" s="4" customFormat="1" ht="38.1" customHeight="1" outlineLevel="1" x14ac:dyDescent="0.2">
      <c r="A1102" s="5" t="s">
        <v>340</v>
      </c>
      <c r="B1102" s="5" t="s">
        <v>345</v>
      </c>
      <c r="C1102" s="5" t="s">
        <v>1140</v>
      </c>
      <c r="D1102" s="5" t="s">
        <v>12</v>
      </c>
      <c r="E1102" s="5" t="s">
        <v>13</v>
      </c>
      <c r="F1102" s="5" t="s">
        <v>16</v>
      </c>
      <c r="G1102" s="6">
        <v>31500</v>
      </c>
      <c r="H1102" s="1095" t="str">
        <f>HYPERLINK("https://adv-map.ru/place/?LINK=74bf3cd075cb31b90439010e30de310b","Ссылка")</f>
        <v>Ссылка</v>
      </c>
      <c r="I1102" s="5" t="s">
        <v>1141</v>
      </c>
    </row>
    <row r="1103" spans="1:9" s="4" customFormat="1" ht="38.1" customHeight="1" outlineLevel="1" x14ac:dyDescent="0.2">
      <c r="A1103" s="5" t="s">
        <v>340</v>
      </c>
      <c r="B1103" s="5" t="s">
        <v>345</v>
      </c>
      <c r="C1103" s="5" t="s">
        <v>1142</v>
      </c>
      <c r="D1103" s="5" t="s">
        <v>12</v>
      </c>
      <c r="E1103" s="5" t="s">
        <v>13</v>
      </c>
      <c r="F1103" s="5" t="s">
        <v>14</v>
      </c>
      <c r="G1103" s="6">
        <v>36750</v>
      </c>
      <c r="H1103" s="1096" t="str">
        <f>HYPERLINK("https://adv-map.ru/place/?LINK=52b0e3f510fb7b1aa97a4bc5e0a1dbd9","Ссылка")</f>
        <v>Ссылка</v>
      </c>
      <c r="I1103" s="5" t="s">
        <v>1141</v>
      </c>
    </row>
    <row r="1104" spans="1:9" s="4" customFormat="1" ht="38.1" customHeight="1" outlineLevel="1" x14ac:dyDescent="0.2">
      <c r="A1104" s="5" t="s">
        <v>340</v>
      </c>
      <c r="B1104" s="5" t="s">
        <v>345</v>
      </c>
      <c r="C1104" s="5" t="s">
        <v>1143</v>
      </c>
      <c r="D1104" s="5" t="s">
        <v>12</v>
      </c>
      <c r="E1104" s="5" t="s">
        <v>13</v>
      </c>
      <c r="F1104" s="5" t="s">
        <v>14</v>
      </c>
      <c r="G1104" s="6">
        <v>42000</v>
      </c>
      <c r="H1104" s="1097" t="str">
        <f>HYPERLINK("https://adv-map.ru/place/?LINK=d23ef4867cb662aa7154df86b57d06d8","Ссылка")</f>
        <v>Ссылка</v>
      </c>
      <c r="I1104" s="5" t="s">
        <v>1144</v>
      </c>
    </row>
    <row r="1105" spans="1:9" s="4" customFormat="1" ht="38.1" customHeight="1" outlineLevel="1" x14ac:dyDescent="0.2">
      <c r="A1105" s="5" t="s">
        <v>340</v>
      </c>
      <c r="B1105" s="5" t="s">
        <v>345</v>
      </c>
      <c r="C1105" s="5" t="s">
        <v>1145</v>
      </c>
      <c r="D1105" s="5" t="s">
        <v>12</v>
      </c>
      <c r="E1105" s="5" t="s">
        <v>13</v>
      </c>
      <c r="F1105" s="5" t="s">
        <v>16</v>
      </c>
      <c r="G1105" s="6">
        <v>28000</v>
      </c>
      <c r="H1105" s="1098" t="str">
        <f>HYPERLINK("https://adv-map.ru/place/?LINK=9ebe6d4d21da1f368f437ee6071d2b3c","Ссылка")</f>
        <v>Ссылка</v>
      </c>
      <c r="I1105" s="5" t="s">
        <v>1146</v>
      </c>
    </row>
    <row r="1106" spans="1:9" s="4" customFormat="1" ht="38.1" customHeight="1" outlineLevel="1" x14ac:dyDescent="0.2">
      <c r="A1106" s="5" t="s">
        <v>340</v>
      </c>
      <c r="B1106" s="5" t="s">
        <v>345</v>
      </c>
      <c r="C1106" s="5" t="s">
        <v>1147</v>
      </c>
      <c r="D1106" s="5" t="s">
        <v>12</v>
      </c>
      <c r="E1106" s="5" t="s">
        <v>13</v>
      </c>
      <c r="F1106" s="5" t="s">
        <v>14</v>
      </c>
      <c r="G1106" s="6">
        <v>42000</v>
      </c>
      <c r="H1106" s="1099" t="str">
        <f>HYPERLINK("https://adv-map.ru/place/?LINK=68b08fd96a2b1ae80ab318d4bc15b43e","Ссылка")</f>
        <v>Ссылка</v>
      </c>
      <c r="I1106" s="5" t="s">
        <v>1148</v>
      </c>
    </row>
    <row r="1107" spans="1:9" s="4" customFormat="1" ht="38.1" customHeight="1" outlineLevel="1" x14ac:dyDescent="0.2">
      <c r="A1107" s="5" t="s">
        <v>340</v>
      </c>
      <c r="B1107" s="5" t="s">
        <v>345</v>
      </c>
      <c r="C1107" s="5" t="s">
        <v>1147</v>
      </c>
      <c r="D1107" s="5" t="s">
        <v>12</v>
      </c>
      <c r="E1107" s="5" t="s">
        <v>13</v>
      </c>
      <c r="F1107" s="5" t="s">
        <v>16</v>
      </c>
      <c r="G1107" s="6">
        <v>30000</v>
      </c>
      <c r="H1107" s="1100" t="str">
        <f>HYPERLINK("https://adv-map.ru/place/?LINK=b2a5c2a54d87bffa13b3a328d1db919e","Ссылка")</f>
        <v>Ссылка</v>
      </c>
      <c r="I1107" s="5" t="s">
        <v>1148</v>
      </c>
    </row>
    <row r="1108" spans="1:9" s="4" customFormat="1" ht="38.1" customHeight="1" outlineLevel="1" x14ac:dyDescent="0.2">
      <c r="A1108" s="5" t="s">
        <v>340</v>
      </c>
      <c r="B1108" s="5" t="s">
        <v>341</v>
      </c>
      <c r="C1108" s="5" t="s">
        <v>1149</v>
      </c>
      <c r="D1108" s="5" t="s">
        <v>12</v>
      </c>
      <c r="E1108" s="5" t="s">
        <v>13</v>
      </c>
      <c r="F1108" s="5" t="s">
        <v>14</v>
      </c>
      <c r="G1108" s="6">
        <v>46200</v>
      </c>
      <c r="H1108" s="1101" t="str">
        <f>HYPERLINK("https://adv-map.ru/place/?LINK=f69fd7cad92fe2b6664cfbc3705d5d76","Ссылка")</f>
        <v>Ссылка</v>
      </c>
      <c r="I1108" s="5" t="s">
        <v>1150</v>
      </c>
    </row>
    <row r="1109" spans="1:9" s="4" customFormat="1" ht="38.1" customHeight="1" outlineLevel="1" x14ac:dyDescent="0.2">
      <c r="A1109" s="5" t="s">
        <v>340</v>
      </c>
      <c r="B1109" s="5" t="s">
        <v>341</v>
      </c>
      <c r="C1109" s="5" t="s">
        <v>1149</v>
      </c>
      <c r="D1109" s="5" t="s">
        <v>12</v>
      </c>
      <c r="E1109" s="5" t="s">
        <v>13</v>
      </c>
      <c r="F1109" s="5" t="s">
        <v>16</v>
      </c>
      <c r="G1109" s="6">
        <v>37800</v>
      </c>
      <c r="H1109" s="1102" t="str">
        <f>HYPERLINK("https://adv-map.ru/place/?LINK=e5584930ef5c9e1b8d2c8f0f889239a9","Ссылка")</f>
        <v>Ссылка</v>
      </c>
      <c r="I1109" s="5" t="s">
        <v>1150</v>
      </c>
    </row>
    <row r="1110" spans="1:9" s="4" customFormat="1" ht="38.1" customHeight="1" outlineLevel="1" x14ac:dyDescent="0.2">
      <c r="A1110" s="5" t="s">
        <v>340</v>
      </c>
      <c r="B1110" s="5" t="s">
        <v>341</v>
      </c>
      <c r="C1110" s="5" t="s">
        <v>1151</v>
      </c>
      <c r="D1110" s="5" t="s">
        <v>12</v>
      </c>
      <c r="E1110" s="5" t="s">
        <v>13</v>
      </c>
      <c r="F1110" s="5" t="s">
        <v>14</v>
      </c>
      <c r="G1110" s="6">
        <v>46200</v>
      </c>
      <c r="H1110" s="1103" t="str">
        <f>HYPERLINK("https://adv-map.ru/place/?LINK=2472998696778e5dd3fd8bd86b065d42","Ссылка")</f>
        <v>Ссылка</v>
      </c>
      <c r="I1110" s="5" t="s">
        <v>1152</v>
      </c>
    </row>
    <row r="1111" spans="1:9" s="4" customFormat="1" ht="38.1" customHeight="1" outlineLevel="1" x14ac:dyDescent="0.2">
      <c r="A1111" s="5" t="s">
        <v>340</v>
      </c>
      <c r="B1111" s="5" t="s">
        <v>341</v>
      </c>
      <c r="C1111" s="5" t="s">
        <v>1151</v>
      </c>
      <c r="D1111" s="5" t="s">
        <v>12</v>
      </c>
      <c r="E1111" s="5" t="s">
        <v>13</v>
      </c>
      <c r="F1111" s="5" t="s">
        <v>16</v>
      </c>
      <c r="G1111" s="6">
        <v>37800</v>
      </c>
      <c r="H1111" s="1104" t="str">
        <f>HYPERLINK("https://adv-map.ru/place/?LINK=f21ad7f6dd606c1cd29784aaec8c8101","Ссылка")</f>
        <v>Ссылка</v>
      </c>
      <c r="I1111" s="5" t="s">
        <v>1152</v>
      </c>
    </row>
    <row r="1112" spans="1:9" s="4" customFormat="1" ht="38.1" customHeight="1" outlineLevel="1" x14ac:dyDescent="0.2">
      <c r="A1112" s="5" t="s">
        <v>340</v>
      </c>
      <c r="B1112" s="5" t="s">
        <v>341</v>
      </c>
      <c r="C1112" s="5" t="s">
        <v>1153</v>
      </c>
      <c r="D1112" s="5" t="s">
        <v>12</v>
      </c>
      <c r="E1112" s="5" t="s">
        <v>13</v>
      </c>
      <c r="F1112" s="5" t="s">
        <v>14</v>
      </c>
      <c r="G1112" s="6">
        <v>46200</v>
      </c>
      <c r="H1112" s="1105" t="str">
        <f>HYPERLINK("https://adv-map.ru/place/?LINK=5a6992f5db71ac69b716c24b73947079","Ссылка")</f>
        <v>Ссылка</v>
      </c>
      <c r="I1112" s="5" t="s">
        <v>1154</v>
      </c>
    </row>
    <row r="1113" spans="1:9" s="4" customFormat="1" ht="38.1" customHeight="1" outlineLevel="1" x14ac:dyDescent="0.2">
      <c r="A1113" s="5" t="s">
        <v>340</v>
      </c>
      <c r="B1113" s="5" t="s">
        <v>341</v>
      </c>
      <c r="C1113" s="5" t="s">
        <v>1153</v>
      </c>
      <c r="D1113" s="5" t="s">
        <v>12</v>
      </c>
      <c r="E1113" s="5" t="s">
        <v>13</v>
      </c>
      <c r="F1113" s="5" t="s">
        <v>16</v>
      </c>
      <c r="G1113" s="6">
        <v>36750</v>
      </c>
      <c r="H1113" s="1106" t="str">
        <f>HYPERLINK("https://adv-map.ru/place/?LINK=ae9695204d627a5b1ac6e2e837b543ad","Ссылка")</f>
        <v>Ссылка</v>
      </c>
      <c r="I1113" s="5" t="s">
        <v>1154</v>
      </c>
    </row>
    <row r="1114" spans="1:9" s="4" customFormat="1" ht="38.1" customHeight="1" outlineLevel="1" x14ac:dyDescent="0.2">
      <c r="A1114" s="5" t="s">
        <v>340</v>
      </c>
      <c r="B1114" s="5" t="s">
        <v>134</v>
      </c>
      <c r="C1114" s="5" t="s">
        <v>1155</v>
      </c>
      <c r="D1114" s="5" t="s">
        <v>347</v>
      </c>
      <c r="E1114" s="5" t="s">
        <v>348</v>
      </c>
      <c r="F1114" s="5" t="s">
        <v>14</v>
      </c>
      <c r="G1114" s="6">
        <v>25200</v>
      </c>
      <c r="H1114" s="1107" t="str">
        <f>HYPERLINK("https://adv-map.ru/place/?LINK=e56ce8416f1db832400bed0b69b8d1b8","Ссылка")</f>
        <v>Ссылка</v>
      </c>
      <c r="I1114" s="5" t="s">
        <v>1156</v>
      </c>
    </row>
    <row r="1115" spans="1:9" s="4" customFormat="1" ht="38.1" customHeight="1" outlineLevel="1" x14ac:dyDescent="0.2">
      <c r="A1115" s="5" t="s">
        <v>340</v>
      </c>
      <c r="B1115" s="5" t="s">
        <v>134</v>
      </c>
      <c r="C1115" s="5" t="s">
        <v>1155</v>
      </c>
      <c r="D1115" s="5" t="s">
        <v>347</v>
      </c>
      <c r="E1115" s="5" t="s">
        <v>348</v>
      </c>
      <c r="F1115" s="5" t="s">
        <v>16</v>
      </c>
      <c r="G1115" s="6">
        <v>20160</v>
      </c>
      <c r="H1115" s="1108" t="str">
        <f>HYPERLINK("https://adv-map.ru/place/?LINK=4828b4aad26fd7a3dd6809da74dea8ec","Ссылка")</f>
        <v>Ссылка</v>
      </c>
      <c r="I1115" s="5" t="s">
        <v>1156</v>
      </c>
    </row>
    <row r="1116" spans="1:9" s="4" customFormat="1" ht="38.1" customHeight="1" outlineLevel="1" x14ac:dyDescent="0.2">
      <c r="A1116" s="5" t="s">
        <v>340</v>
      </c>
      <c r="B1116" s="5" t="s">
        <v>134</v>
      </c>
      <c r="C1116" s="5" t="s">
        <v>1157</v>
      </c>
      <c r="D1116" s="5" t="s">
        <v>347</v>
      </c>
      <c r="E1116" s="5" t="s">
        <v>348</v>
      </c>
      <c r="F1116" s="5" t="s">
        <v>14</v>
      </c>
      <c r="G1116" s="6">
        <v>25200</v>
      </c>
      <c r="H1116" s="1109" t="str">
        <f>HYPERLINK("https://adv-map.ru/place/?LINK=d3834d47ac6de3ced7ac10821431b262","Ссылка")</f>
        <v>Ссылка</v>
      </c>
      <c r="I1116" s="5" t="s">
        <v>1158</v>
      </c>
    </row>
    <row r="1117" spans="1:9" s="4" customFormat="1" ht="38.1" customHeight="1" outlineLevel="1" x14ac:dyDescent="0.2">
      <c r="A1117" s="5" t="s">
        <v>340</v>
      </c>
      <c r="B1117" s="5" t="s">
        <v>134</v>
      </c>
      <c r="C1117" s="5" t="s">
        <v>1157</v>
      </c>
      <c r="D1117" s="5" t="s">
        <v>347</v>
      </c>
      <c r="E1117" s="5" t="s">
        <v>348</v>
      </c>
      <c r="F1117" s="5" t="s">
        <v>16</v>
      </c>
      <c r="G1117" s="6">
        <v>20160</v>
      </c>
      <c r="H1117" s="1110" t="str">
        <f>HYPERLINK("https://adv-map.ru/place/?LINK=56c60a64b745de963cc52817b0d86827","Ссылка")</f>
        <v>Ссылка</v>
      </c>
      <c r="I1117" s="5" t="s">
        <v>1158</v>
      </c>
    </row>
    <row r="1118" spans="1:9" s="4" customFormat="1" ht="38.1" customHeight="1" outlineLevel="1" x14ac:dyDescent="0.2">
      <c r="A1118" s="5" t="s">
        <v>340</v>
      </c>
      <c r="B1118" s="5" t="s">
        <v>134</v>
      </c>
      <c r="C1118" s="5" t="s">
        <v>1159</v>
      </c>
      <c r="D1118" s="5" t="s">
        <v>347</v>
      </c>
      <c r="E1118" s="5" t="s">
        <v>348</v>
      </c>
      <c r="F1118" s="5" t="s">
        <v>14</v>
      </c>
      <c r="G1118" s="6">
        <v>25200</v>
      </c>
      <c r="H1118" s="1111" t="str">
        <f>HYPERLINK("https://adv-map.ru/place/?LINK=9001cea6a7cb268f5dafdcf0c6c5e5d1","Ссылка")</f>
        <v>Ссылка</v>
      </c>
      <c r="I1118" s="5" t="s">
        <v>1160</v>
      </c>
    </row>
    <row r="1119" spans="1:9" s="4" customFormat="1" ht="38.1" customHeight="1" outlineLevel="1" x14ac:dyDescent="0.2">
      <c r="A1119" s="5" t="s">
        <v>340</v>
      </c>
      <c r="B1119" s="5" t="s">
        <v>134</v>
      </c>
      <c r="C1119" s="5" t="s">
        <v>1159</v>
      </c>
      <c r="D1119" s="5" t="s">
        <v>347</v>
      </c>
      <c r="E1119" s="5" t="s">
        <v>348</v>
      </c>
      <c r="F1119" s="5" t="s">
        <v>16</v>
      </c>
      <c r="G1119" s="6">
        <v>20160</v>
      </c>
      <c r="H1119" s="1112" t="str">
        <f>HYPERLINK("https://adv-map.ru/place/?LINK=70bf6176b9c8c62ab4a85f3e8f3052a0","Ссылка")</f>
        <v>Ссылка</v>
      </c>
      <c r="I1119" s="5" t="s">
        <v>1160</v>
      </c>
    </row>
    <row r="1120" spans="1:9" s="4" customFormat="1" ht="38.1" customHeight="1" outlineLevel="1" x14ac:dyDescent="0.2">
      <c r="A1120" s="5" t="s">
        <v>340</v>
      </c>
      <c r="B1120" s="5" t="s">
        <v>354</v>
      </c>
      <c r="C1120" s="5" t="s">
        <v>1161</v>
      </c>
      <c r="D1120" s="5" t="s">
        <v>347</v>
      </c>
      <c r="E1120" s="5" t="s">
        <v>348</v>
      </c>
      <c r="F1120" s="5" t="s">
        <v>14</v>
      </c>
      <c r="G1120" s="6">
        <v>20160</v>
      </c>
      <c r="H1120" s="1113" t="str">
        <f>HYPERLINK("https://adv-map.ru/place/?LINK=16cd2f986d9955cade6749bcdca0a4c5","Ссылка")</f>
        <v>Ссылка</v>
      </c>
      <c r="I1120" s="5" t="s">
        <v>1162</v>
      </c>
    </row>
    <row r="1121" spans="1:9" s="4" customFormat="1" ht="38.1" customHeight="1" outlineLevel="1" x14ac:dyDescent="0.2">
      <c r="A1121" s="5" t="s">
        <v>340</v>
      </c>
      <c r="B1121" s="5" t="s">
        <v>354</v>
      </c>
      <c r="C1121" s="5" t="s">
        <v>1161</v>
      </c>
      <c r="D1121" s="5" t="s">
        <v>347</v>
      </c>
      <c r="E1121" s="5" t="s">
        <v>348</v>
      </c>
      <c r="F1121" s="5" t="s">
        <v>16</v>
      </c>
      <c r="G1121" s="6">
        <v>15120</v>
      </c>
      <c r="H1121" s="1114" t="str">
        <f>HYPERLINK("https://adv-map.ru/place/?LINK=2de4310d7c883b7f998dde18972c03ac","Ссылка")</f>
        <v>Ссылка</v>
      </c>
      <c r="I1121" s="5" t="s">
        <v>1163</v>
      </c>
    </row>
    <row r="1122" spans="1:9" s="4" customFormat="1" ht="38.1" customHeight="1" outlineLevel="1" x14ac:dyDescent="0.2">
      <c r="A1122" s="5" t="s">
        <v>340</v>
      </c>
      <c r="B1122" s="5" t="s">
        <v>354</v>
      </c>
      <c r="C1122" s="5" t="s">
        <v>1164</v>
      </c>
      <c r="D1122" s="5" t="s">
        <v>347</v>
      </c>
      <c r="E1122" s="5" t="s">
        <v>348</v>
      </c>
      <c r="F1122" s="5" t="s">
        <v>14</v>
      </c>
      <c r="G1122" s="6">
        <v>20160</v>
      </c>
      <c r="H1122" s="1115" t="str">
        <f>HYPERLINK("https://adv-map.ru/place/?LINK=22d58c64ca796e45f440fc164fda1469","Ссылка")</f>
        <v>Ссылка</v>
      </c>
      <c r="I1122" s="5" t="s">
        <v>1165</v>
      </c>
    </row>
    <row r="1123" spans="1:9" s="4" customFormat="1" ht="38.1" customHeight="1" outlineLevel="1" x14ac:dyDescent="0.2">
      <c r="A1123" s="5" t="s">
        <v>340</v>
      </c>
      <c r="B1123" s="5" t="s">
        <v>354</v>
      </c>
      <c r="C1123" s="5" t="s">
        <v>1164</v>
      </c>
      <c r="D1123" s="5" t="s">
        <v>347</v>
      </c>
      <c r="E1123" s="5" t="s">
        <v>348</v>
      </c>
      <c r="F1123" s="5" t="s">
        <v>16</v>
      </c>
      <c r="G1123" s="6">
        <v>15120</v>
      </c>
      <c r="H1123" s="1116" t="str">
        <f>HYPERLINK("https://adv-map.ru/place/?LINK=86a335a3c0ab2cafe6e16a5e682ae1cb","Ссылка")</f>
        <v>Ссылка</v>
      </c>
      <c r="I1123" s="5" t="s">
        <v>1166</v>
      </c>
    </row>
    <row r="1124" spans="1:9" s="4" customFormat="1" ht="38.1" customHeight="1" outlineLevel="1" x14ac:dyDescent="0.2">
      <c r="A1124" s="5" t="s">
        <v>340</v>
      </c>
      <c r="B1124" s="5" t="s">
        <v>354</v>
      </c>
      <c r="C1124" s="5" t="s">
        <v>1167</v>
      </c>
      <c r="D1124" s="5" t="s">
        <v>347</v>
      </c>
      <c r="E1124" s="5" t="s">
        <v>348</v>
      </c>
      <c r="F1124" s="5" t="s">
        <v>14</v>
      </c>
      <c r="G1124" s="6">
        <v>20160</v>
      </c>
      <c r="H1124" s="1117" t="str">
        <f>HYPERLINK("https://adv-map.ru/place/?LINK=73ed67faa0981c0b6abf3aee6ddedf51","Ссылка")</f>
        <v>Ссылка</v>
      </c>
      <c r="I1124" s="5" t="s">
        <v>1168</v>
      </c>
    </row>
    <row r="1125" spans="1:9" s="4" customFormat="1" ht="38.1" customHeight="1" outlineLevel="1" x14ac:dyDescent="0.2">
      <c r="A1125" s="5" t="s">
        <v>340</v>
      </c>
      <c r="B1125" s="5" t="s">
        <v>354</v>
      </c>
      <c r="C1125" s="5" t="s">
        <v>1167</v>
      </c>
      <c r="D1125" s="5" t="s">
        <v>347</v>
      </c>
      <c r="E1125" s="5" t="s">
        <v>348</v>
      </c>
      <c r="F1125" s="5" t="s">
        <v>16</v>
      </c>
      <c r="G1125" s="6">
        <v>15120</v>
      </c>
      <c r="H1125" s="1118" t="str">
        <f>HYPERLINK("https://adv-map.ru/place/?LINK=abc8401c6fd4e839b11b4eb66a121f17","Ссылка")</f>
        <v>Ссылка</v>
      </c>
      <c r="I1125" s="5" t="s">
        <v>1169</v>
      </c>
    </row>
    <row r="1126" spans="1:9" s="4" customFormat="1" ht="38.1" customHeight="1" outlineLevel="1" x14ac:dyDescent="0.2">
      <c r="A1126" s="5" t="s">
        <v>340</v>
      </c>
      <c r="B1126" s="5" t="s">
        <v>354</v>
      </c>
      <c r="C1126" s="5" t="s">
        <v>1170</v>
      </c>
      <c r="D1126" s="5" t="s">
        <v>347</v>
      </c>
      <c r="E1126" s="5" t="s">
        <v>348</v>
      </c>
      <c r="F1126" s="5" t="s">
        <v>14</v>
      </c>
      <c r="G1126" s="6">
        <v>20160</v>
      </c>
      <c r="H1126" s="1119" t="str">
        <f>HYPERLINK("https://adv-map.ru/place/?LINK=45ba140e53086ac5669b0b58ea8edbbf","Ссылка")</f>
        <v>Ссылка</v>
      </c>
      <c r="I1126" s="5" t="s">
        <v>1171</v>
      </c>
    </row>
    <row r="1127" spans="1:9" s="4" customFormat="1" ht="38.1" customHeight="1" outlineLevel="1" x14ac:dyDescent="0.2">
      <c r="A1127" s="5" t="s">
        <v>340</v>
      </c>
      <c r="B1127" s="5" t="s">
        <v>354</v>
      </c>
      <c r="C1127" s="5" t="s">
        <v>1170</v>
      </c>
      <c r="D1127" s="5" t="s">
        <v>347</v>
      </c>
      <c r="E1127" s="5" t="s">
        <v>348</v>
      </c>
      <c r="F1127" s="5" t="s">
        <v>16</v>
      </c>
      <c r="G1127" s="6">
        <v>15120</v>
      </c>
      <c r="H1127" s="1120" t="str">
        <f>HYPERLINK("https://adv-map.ru/place/?LINK=a141dcdf9d4b9ad61d3bf370bd966739","Ссылка")</f>
        <v>Ссылка</v>
      </c>
      <c r="I1127" s="5" t="s">
        <v>1172</v>
      </c>
    </row>
    <row r="1128" spans="1:9" s="4" customFormat="1" ht="38.1" customHeight="1" outlineLevel="1" x14ac:dyDescent="0.2">
      <c r="A1128" s="5" t="s">
        <v>340</v>
      </c>
      <c r="B1128" s="5" t="s">
        <v>354</v>
      </c>
      <c r="C1128" s="5" t="s">
        <v>1173</v>
      </c>
      <c r="D1128" s="5" t="s">
        <v>347</v>
      </c>
      <c r="E1128" s="5" t="s">
        <v>348</v>
      </c>
      <c r="F1128" s="5" t="s">
        <v>14</v>
      </c>
      <c r="G1128" s="6">
        <v>20160</v>
      </c>
      <c r="H1128" s="1121" t="str">
        <f>HYPERLINK("https://adv-map.ru/place/?LINK=2509f5326c511785714ae1e76ab6c1ea","Ссылка")</f>
        <v>Ссылка</v>
      </c>
      <c r="I1128" s="5" t="s">
        <v>1174</v>
      </c>
    </row>
    <row r="1129" spans="1:9" s="4" customFormat="1" ht="38.1" customHeight="1" outlineLevel="1" x14ac:dyDescent="0.2">
      <c r="A1129" s="5" t="s">
        <v>340</v>
      </c>
      <c r="B1129" s="5" t="s">
        <v>354</v>
      </c>
      <c r="C1129" s="5" t="s">
        <v>1173</v>
      </c>
      <c r="D1129" s="5" t="s">
        <v>347</v>
      </c>
      <c r="E1129" s="5" t="s">
        <v>348</v>
      </c>
      <c r="F1129" s="5" t="s">
        <v>16</v>
      </c>
      <c r="G1129" s="6">
        <v>15120</v>
      </c>
      <c r="H1129" s="1122" t="str">
        <f>HYPERLINK("https://adv-map.ru/place/?LINK=4eb3057c7a81f80ac360e8a322a33d94","Ссылка")</f>
        <v>Ссылка</v>
      </c>
      <c r="I1129" s="5" t="s">
        <v>1175</v>
      </c>
    </row>
    <row r="1130" spans="1:9" s="4" customFormat="1" ht="38.1" customHeight="1" outlineLevel="1" x14ac:dyDescent="0.2">
      <c r="A1130" s="5" t="s">
        <v>340</v>
      </c>
      <c r="B1130" s="5" t="s">
        <v>652</v>
      </c>
      <c r="C1130" s="5" t="s">
        <v>1176</v>
      </c>
      <c r="D1130" s="5" t="s">
        <v>49</v>
      </c>
      <c r="E1130" s="5" t="s">
        <v>13</v>
      </c>
      <c r="F1130" s="5" t="s">
        <v>28</v>
      </c>
      <c r="G1130" s="6">
        <v>56700</v>
      </c>
      <c r="H1130" s="1123" t="str">
        <f>HYPERLINK("https://adv-map.ru/place/?LINK=ba609d57b910691d091bc7fdd88a014b","Ссылка")</f>
        <v>Ссылка</v>
      </c>
      <c r="I1130" s="5" t="s">
        <v>1177</v>
      </c>
    </row>
    <row r="1131" spans="1:9" s="4" customFormat="1" ht="38.1" customHeight="1" outlineLevel="1" x14ac:dyDescent="0.2">
      <c r="A1131" s="5" t="s">
        <v>340</v>
      </c>
      <c r="B1131" s="5" t="s">
        <v>652</v>
      </c>
      <c r="C1131" s="5" t="s">
        <v>1176</v>
      </c>
      <c r="D1131" s="5" t="s">
        <v>49</v>
      </c>
      <c r="E1131" s="5" t="s">
        <v>13</v>
      </c>
      <c r="F1131" s="5" t="s">
        <v>30</v>
      </c>
      <c r="G1131" s="6">
        <v>56700</v>
      </c>
      <c r="H1131" s="1124" t="str">
        <f>HYPERLINK("https://adv-map.ru/place/?LINK=cccf6768e164b00e19bb4f9eb9a7c9a9","Ссылка")</f>
        <v>Ссылка</v>
      </c>
      <c r="I1131" s="5" t="s">
        <v>1177</v>
      </c>
    </row>
    <row r="1132" spans="1:9" s="4" customFormat="1" ht="38.1" customHeight="1" outlineLevel="1" x14ac:dyDescent="0.2">
      <c r="A1132" s="5" t="s">
        <v>340</v>
      </c>
      <c r="B1132" s="5" t="s">
        <v>652</v>
      </c>
      <c r="C1132" s="5" t="s">
        <v>1176</v>
      </c>
      <c r="D1132" s="5" t="s">
        <v>49</v>
      </c>
      <c r="E1132" s="5" t="s">
        <v>13</v>
      </c>
      <c r="F1132" s="5" t="s">
        <v>31</v>
      </c>
      <c r="G1132" s="6">
        <v>56700</v>
      </c>
      <c r="H1132" s="1125" t="str">
        <f>HYPERLINK("https://adv-map.ru/place/?LINK=439164cd3fc725e522c2bfd68c3bffa7","Ссылка")</f>
        <v>Ссылка</v>
      </c>
      <c r="I1132" s="5" t="s">
        <v>1177</v>
      </c>
    </row>
    <row r="1133" spans="1:9" s="4" customFormat="1" ht="38.1" customHeight="1" outlineLevel="1" x14ac:dyDescent="0.2">
      <c r="A1133" s="5" t="s">
        <v>340</v>
      </c>
      <c r="B1133" s="5" t="s">
        <v>652</v>
      </c>
      <c r="C1133" s="5" t="s">
        <v>1176</v>
      </c>
      <c r="D1133" s="5" t="s">
        <v>12</v>
      </c>
      <c r="E1133" s="5" t="s">
        <v>13</v>
      </c>
      <c r="F1133" s="5" t="s">
        <v>16</v>
      </c>
      <c r="G1133" s="6">
        <v>31500</v>
      </c>
      <c r="H1133" s="1126" t="str">
        <f>HYPERLINK("https://adv-map.ru/place/?LINK=daa54f3c2d6e1a6205ef478803eaecf7","Ссылка")</f>
        <v>Ссылка</v>
      </c>
      <c r="I1133" s="5" t="s">
        <v>1177</v>
      </c>
    </row>
    <row r="1134" spans="1:9" s="4" customFormat="1" ht="38.1" customHeight="1" outlineLevel="1" x14ac:dyDescent="0.2">
      <c r="A1134" s="5" t="s">
        <v>340</v>
      </c>
      <c r="B1134" s="5" t="s">
        <v>345</v>
      </c>
      <c r="C1134" s="5" t="s">
        <v>1178</v>
      </c>
      <c r="D1134" s="5" t="s">
        <v>347</v>
      </c>
      <c r="E1134" s="5" t="s">
        <v>348</v>
      </c>
      <c r="F1134" s="5" t="s">
        <v>16</v>
      </c>
      <c r="G1134" s="6">
        <v>20160</v>
      </c>
      <c r="H1134" s="1127" t="str">
        <f>HYPERLINK("https://adv-map.ru/place/?LINK=80cd70f4498388f742fda56e0265fd78","Ссылка")</f>
        <v>Ссылка</v>
      </c>
      <c r="I1134" s="5" t="s">
        <v>1179</v>
      </c>
    </row>
    <row r="1135" spans="1:9" s="4" customFormat="1" ht="38.1" customHeight="1" outlineLevel="1" x14ac:dyDescent="0.2">
      <c r="A1135" s="5" t="s">
        <v>340</v>
      </c>
      <c r="B1135" s="5" t="s">
        <v>345</v>
      </c>
      <c r="C1135" s="5" t="s">
        <v>1180</v>
      </c>
      <c r="D1135" s="5" t="s">
        <v>347</v>
      </c>
      <c r="E1135" s="5" t="s">
        <v>348</v>
      </c>
      <c r="F1135" s="5" t="s">
        <v>14</v>
      </c>
      <c r="G1135" s="6">
        <v>25200</v>
      </c>
      <c r="H1135" s="1128" t="str">
        <f>HYPERLINK("https://adv-map.ru/place/?LINK=730432c76ad1794ce2ad36052bc32b36","Ссылка")</f>
        <v>Ссылка</v>
      </c>
      <c r="I1135" s="5" t="s">
        <v>1181</v>
      </c>
    </row>
    <row r="1136" spans="1:9" s="4" customFormat="1" ht="38.1" customHeight="1" outlineLevel="1" x14ac:dyDescent="0.2">
      <c r="A1136" s="5" t="s">
        <v>340</v>
      </c>
      <c r="B1136" s="5" t="s">
        <v>345</v>
      </c>
      <c r="C1136" s="5" t="s">
        <v>1182</v>
      </c>
      <c r="D1136" s="5" t="s">
        <v>347</v>
      </c>
      <c r="E1136" s="5" t="s">
        <v>348</v>
      </c>
      <c r="F1136" s="5" t="s">
        <v>14</v>
      </c>
      <c r="G1136" s="6">
        <v>17640</v>
      </c>
      <c r="H1136" s="1129" t="str">
        <f>HYPERLINK("https://adv-map.ru/place/?LINK=f4ecb28d9b13027fc9c9038248a37a7f","Ссылка")</f>
        <v>Ссылка</v>
      </c>
      <c r="I1136" s="5" t="s">
        <v>1183</v>
      </c>
    </row>
    <row r="1137" spans="1:9" s="4" customFormat="1" ht="38.1" customHeight="1" outlineLevel="1" x14ac:dyDescent="0.2">
      <c r="A1137" s="5" t="s">
        <v>340</v>
      </c>
      <c r="B1137" s="5" t="s">
        <v>345</v>
      </c>
      <c r="C1137" s="5" t="s">
        <v>1182</v>
      </c>
      <c r="D1137" s="5" t="s">
        <v>347</v>
      </c>
      <c r="E1137" s="5" t="s">
        <v>348</v>
      </c>
      <c r="F1137" s="5" t="s">
        <v>16</v>
      </c>
      <c r="G1137" s="6">
        <v>25200</v>
      </c>
      <c r="H1137" s="1130" t="str">
        <f>HYPERLINK("https://adv-map.ru/place/?LINK=916fed177408ba8f0ea64f1ec12c19b3","Ссылка")</f>
        <v>Ссылка</v>
      </c>
      <c r="I1137" s="5" t="s">
        <v>1183</v>
      </c>
    </row>
    <row r="1138" spans="1:9" s="4" customFormat="1" ht="38.1" customHeight="1" outlineLevel="1" x14ac:dyDescent="0.2">
      <c r="A1138" s="5" t="s">
        <v>340</v>
      </c>
      <c r="B1138" s="5" t="s">
        <v>345</v>
      </c>
      <c r="C1138" s="5" t="s">
        <v>1184</v>
      </c>
      <c r="D1138" s="5" t="s">
        <v>12</v>
      </c>
      <c r="E1138" s="5" t="s">
        <v>13</v>
      </c>
      <c r="F1138" s="5" t="s">
        <v>16</v>
      </c>
      <c r="G1138" s="6">
        <v>30000</v>
      </c>
      <c r="H1138" s="1131" t="str">
        <f>HYPERLINK("https://adv-map.ru/place/?LINK=e06c2e74302c15f43b8005d78f5f23bd","Ссылка")</f>
        <v>Ссылка</v>
      </c>
      <c r="I1138" s="5" t="s">
        <v>1185</v>
      </c>
    </row>
    <row r="1139" spans="1:9" s="4" customFormat="1" ht="38.1" customHeight="1" outlineLevel="1" x14ac:dyDescent="0.2">
      <c r="A1139" s="5" t="s">
        <v>340</v>
      </c>
      <c r="B1139" s="5" t="s">
        <v>345</v>
      </c>
      <c r="C1139" s="5" t="s">
        <v>1186</v>
      </c>
      <c r="D1139" s="5" t="s">
        <v>12</v>
      </c>
      <c r="E1139" s="5" t="s">
        <v>13</v>
      </c>
      <c r="F1139" s="5" t="s">
        <v>14</v>
      </c>
      <c r="G1139" s="6">
        <v>50000</v>
      </c>
      <c r="H1139" s="1132" t="str">
        <f>HYPERLINK("https://adv-map.ru/place/?LINK=d487bb16491f0e08a280ccf74d977fd9","Ссылка")</f>
        <v>Ссылка</v>
      </c>
      <c r="I1139" s="5" t="s">
        <v>1187</v>
      </c>
    </row>
    <row r="1140" spans="1:9" s="4" customFormat="1" ht="38.1" customHeight="1" outlineLevel="1" x14ac:dyDescent="0.2">
      <c r="A1140" s="5" t="s">
        <v>340</v>
      </c>
      <c r="B1140" s="5" t="s">
        <v>345</v>
      </c>
      <c r="C1140" s="5" t="s">
        <v>1186</v>
      </c>
      <c r="D1140" s="5" t="s">
        <v>464</v>
      </c>
      <c r="E1140" s="5" t="s">
        <v>13</v>
      </c>
      <c r="F1140" s="5" t="s">
        <v>28</v>
      </c>
      <c r="G1140" s="6">
        <v>57750</v>
      </c>
      <c r="H1140" s="1133" t="str">
        <f>HYPERLINK("https://adv-map.ru/place/?LINK=89767da30c64295be0b82c561485f1bc","Ссылка")</f>
        <v>Ссылка</v>
      </c>
      <c r="I1140" s="5" t="s">
        <v>1188</v>
      </c>
    </row>
    <row r="1141" spans="1:9" s="4" customFormat="1" ht="51" customHeight="1" outlineLevel="1" x14ac:dyDescent="0.2">
      <c r="A1141" s="5" t="s">
        <v>340</v>
      </c>
      <c r="B1141" s="5" t="s">
        <v>345</v>
      </c>
      <c r="C1141" s="5" t="s">
        <v>1186</v>
      </c>
      <c r="D1141" s="5" t="s">
        <v>464</v>
      </c>
      <c r="E1141" s="5" t="s">
        <v>13</v>
      </c>
      <c r="F1141" s="5" t="s">
        <v>466</v>
      </c>
      <c r="G1141" s="6">
        <v>57750</v>
      </c>
      <c r="H1141" s="1134" t="str">
        <f>HYPERLINK("https://adv-map.ru/place/?LINK=a077e3b79305158de594a5a688d06895","Ссылка")</f>
        <v>Ссылка</v>
      </c>
      <c r="I1141" s="5" t="s">
        <v>1188</v>
      </c>
    </row>
    <row r="1142" spans="1:9" s="4" customFormat="1" ht="38.1" customHeight="1" outlineLevel="1" x14ac:dyDescent="0.2">
      <c r="A1142" s="5" t="s">
        <v>340</v>
      </c>
      <c r="B1142" s="5" t="s">
        <v>345</v>
      </c>
      <c r="C1142" s="5" t="s">
        <v>1186</v>
      </c>
      <c r="D1142" s="5" t="s">
        <v>464</v>
      </c>
      <c r="E1142" s="5" t="s">
        <v>13</v>
      </c>
      <c r="F1142" s="5" t="s">
        <v>467</v>
      </c>
      <c r="G1142" s="6">
        <v>57750</v>
      </c>
      <c r="H1142" s="1135" t="str">
        <f>HYPERLINK("https://adv-map.ru/place/?LINK=1264c0e35ded1f39a2016c99eccec3eb","Ссылка")</f>
        <v>Ссылка</v>
      </c>
      <c r="I1142" s="5" t="s">
        <v>1188</v>
      </c>
    </row>
    <row r="1143" spans="1:9" s="4" customFormat="1" ht="38.1" customHeight="1" outlineLevel="1" x14ac:dyDescent="0.2">
      <c r="A1143" s="5" t="s">
        <v>340</v>
      </c>
      <c r="B1143" s="5" t="s">
        <v>345</v>
      </c>
      <c r="C1143" s="5" t="s">
        <v>1186</v>
      </c>
      <c r="D1143" s="5" t="s">
        <v>464</v>
      </c>
      <c r="E1143" s="5" t="s">
        <v>13</v>
      </c>
      <c r="F1143" s="5" t="s">
        <v>468</v>
      </c>
      <c r="G1143" s="6">
        <v>57750</v>
      </c>
      <c r="H1143" s="1136" t="str">
        <f>HYPERLINK("https://adv-map.ru/place/?LINK=18b0c226093fcb127ccb63ea74027218","Ссылка")</f>
        <v>Ссылка</v>
      </c>
      <c r="I1143" s="5" t="s">
        <v>1188</v>
      </c>
    </row>
    <row r="1144" spans="1:9" s="4" customFormat="1" ht="38.1" customHeight="1" outlineLevel="1" x14ac:dyDescent="0.2">
      <c r="A1144" s="5" t="s">
        <v>340</v>
      </c>
      <c r="B1144" s="5" t="s">
        <v>345</v>
      </c>
      <c r="C1144" s="5" t="s">
        <v>1186</v>
      </c>
      <c r="D1144" s="5" t="s">
        <v>464</v>
      </c>
      <c r="E1144" s="5" t="s">
        <v>13</v>
      </c>
      <c r="F1144" s="5" t="s">
        <v>30</v>
      </c>
      <c r="G1144" s="6">
        <v>57750</v>
      </c>
      <c r="H1144" s="1137" t="str">
        <f>HYPERLINK("https://adv-map.ru/place/?LINK=8c6df0fbe230ccd5dc6744200e85731b","Ссылка")</f>
        <v>Ссылка</v>
      </c>
      <c r="I1144" s="5" t="s">
        <v>1188</v>
      </c>
    </row>
    <row r="1145" spans="1:9" s="4" customFormat="1" ht="38.1" customHeight="1" outlineLevel="1" x14ac:dyDescent="0.2">
      <c r="A1145" s="5" t="s">
        <v>340</v>
      </c>
      <c r="B1145" s="5" t="s">
        <v>345</v>
      </c>
      <c r="C1145" s="5" t="s">
        <v>1186</v>
      </c>
      <c r="D1145" s="5" t="s">
        <v>464</v>
      </c>
      <c r="E1145" s="5" t="s">
        <v>13</v>
      </c>
      <c r="F1145" s="5" t="s">
        <v>31</v>
      </c>
      <c r="G1145" s="6">
        <v>57750</v>
      </c>
      <c r="H1145" s="1138" t="str">
        <f>HYPERLINK("https://adv-map.ru/place/?LINK=78ff695a09c42a4a40b435c87cb322f5","Ссылка")</f>
        <v>Ссылка</v>
      </c>
      <c r="I1145" s="5" t="s">
        <v>1188</v>
      </c>
    </row>
    <row r="1146" spans="1:9" s="4" customFormat="1" ht="38.1" customHeight="1" outlineLevel="1" x14ac:dyDescent="0.2">
      <c r="A1146" s="5" t="s">
        <v>340</v>
      </c>
      <c r="B1146" s="5" t="s">
        <v>345</v>
      </c>
      <c r="C1146" s="5" t="s">
        <v>1186</v>
      </c>
      <c r="D1146" s="5" t="s">
        <v>464</v>
      </c>
      <c r="E1146" s="5" t="s">
        <v>13</v>
      </c>
      <c r="F1146" s="5" t="s">
        <v>32</v>
      </c>
      <c r="G1146" s="6">
        <v>57750</v>
      </c>
      <c r="H1146" s="1139" t="str">
        <f>HYPERLINK("https://adv-map.ru/place/?LINK=fb78f833b75393c340c0297549231dd2","Ссылка")</f>
        <v>Ссылка</v>
      </c>
      <c r="I1146" s="5" t="s">
        <v>1188</v>
      </c>
    </row>
    <row r="1147" spans="1:9" s="4" customFormat="1" ht="38.1" customHeight="1" outlineLevel="1" x14ac:dyDescent="0.2">
      <c r="A1147" s="5" t="s">
        <v>340</v>
      </c>
      <c r="B1147" s="5" t="s">
        <v>345</v>
      </c>
      <c r="C1147" s="5" t="s">
        <v>1186</v>
      </c>
      <c r="D1147" s="5" t="s">
        <v>464</v>
      </c>
      <c r="E1147" s="5" t="s">
        <v>13</v>
      </c>
      <c r="F1147" s="5" t="s">
        <v>469</v>
      </c>
      <c r="G1147" s="6">
        <v>57750</v>
      </c>
      <c r="H1147" s="1140" t="str">
        <f>HYPERLINK("https://adv-map.ru/place/?LINK=1f0baeb60db4784d49b4feff6306f029","Ссылка")</f>
        <v>Ссылка</v>
      </c>
      <c r="I1147" s="5" t="s">
        <v>1188</v>
      </c>
    </row>
    <row r="1148" spans="1:9" s="4" customFormat="1" ht="38.1" customHeight="1" outlineLevel="1" x14ac:dyDescent="0.2">
      <c r="A1148" s="5" t="s">
        <v>340</v>
      </c>
      <c r="B1148" s="5" t="s">
        <v>345</v>
      </c>
      <c r="C1148" s="5" t="s">
        <v>1186</v>
      </c>
      <c r="D1148" s="5" t="s">
        <v>464</v>
      </c>
      <c r="E1148" s="5" t="s">
        <v>13</v>
      </c>
      <c r="F1148" s="5" t="s">
        <v>470</v>
      </c>
      <c r="G1148" s="6">
        <v>57750</v>
      </c>
      <c r="H1148" s="1141" t="str">
        <f>HYPERLINK("https://adv-map.ru/place/?LINK=88f3e8e121f08f41d827f06142e86cff","Ссылка")</f>
        <v>Ссылка</v>
      </c>
      <c r="I1148" s="5" t="s">
        <v>1188</v>
      </c>
    </row>
    <row r="1149" spans="1:9" s="4" customFormat="1" ht="38.1" customHeight="1" outlineLevel="1" x14ac:dyDescent="0.2">
      <c r="A1149" s="5" t="s">
        <v>340</v>
      </c>
      <c r="B1149" s="5" t="s">
        <v>345</v>
      </c>
      <c r="C1149" s="5" t="s">
        <v>1186</v>
      </c>
      <c r="D1149" s="5" t="s">
        <v>464</v>
      </c>
      <c r="E1149" s="5" t="s">
        <v>13</v>
      </c>
      <c r="F1149" s="5" t="s">
        <v>471</v>
      </c>
      <c r="G1149" s="6">
        <v>57750</v>
      </c>
      <c r="H1149" s="1142" t="str">
        <f>HYPERLINK("https://adv-map.ru/place/?LINK=67957fdc6ee5685db68f44ce255376bb","Ссылка")</f>
        <v>Ссылка</v>
      </c>
      <c r="I1149" s="5" t="s">
        <v>1188</v>
      </c>
    </row>
    <row r="1150" spans="1:9" s="4" customFormat="1" ht="38.1" customHeight="1" outlineLevel="1" x14ac:dyDescent="0.2">
      <c r="A1150" s="5" t="s">
        <v>340</v>
      </c>
      <c r="B1150" s="5" t="s">
        <v>345</v>
      </c>
      <c r="C1150" s="5" t="s">
        <v>1186</v>
      </c>
      <c r="D1150" s="5" t="s">
        <v>464</v>
      </c>
      <c r="E1150" s="5" t="s">
        <v>13</v>
      </c>
      <c r="F1150" s="5" t="s">
        <v>472</v>
      </c>
      <c r="G1150" s="6">
        <v>57750</v>
      </c>
      <c r="H1150" s="1143" t="str">
        <f>HYPERLINK("https://adv-map.ru/place/?LINK=0904f3b84909fbc5dcd9890df0170c9d","Ссылка")</f>
        <v>Ссылка</v>
      </c>
      <c r="I1150" s="5" t="s">
        <v>1188</v>
      </c>
    </row>
    <row r="1151" spans="1:9" s="4" customFormat="1" ht="38.1" customHeight="1" outlineLevel="1" x14ac:dyDescent="0.2">
      <c r="A1151" s="5" t="s">
        <v>340</v>
      </c>
      <c r="B1151" s="5" t="s">
        <v>345</v>
      </c>
      <c r="C1151" s="5" t="s">
        <v>1186</v>
      </c>
      <c r="D1151" s="5" t="s">
        <v>464</v>
      </c>
      <c r="E1151" s="5" t="s">
        <v>13</v>
      </c>
      <c r="F1151" s="5" t="s">
        <v>473</v>
      </c>
      <c r="G1151" s="6">
        <v>57750</v>
      </c>
      <c r="H1151" s="1144" t="str">
        <f>HYPERLINK("https://adv-map.ru/place/?LINK=79e0e574f9e670c7dfa584aa0a3c0c00","Ссылка")</f>
        <v>Ссылка</v>
      </c>
      <c r="I1151" s="5" t="s">
        <v>1188</v>
      </c>
    </row>
    <row r="1152" spans="1:9" s="4" customFormat="1" ht="38.1" customHeight="1" outlineLevel="1" x14ac:dyDescent="0.2">
      <c r="A1152" s="5" t="s">
        <v>340</v>
      </c>
      <c r="B1152" s="5" t="s">
        <v>345</v>
      </c>
      <c r="C1152" s="5" t="s">
        <v>1186</v>
      </c>
      <c r="D1152" s="5" t="s">
        <v>12</v>
      </c>
      <c r="E1152" s="5" t="s">
        <v>13</v>
      </c>
      <c r="F1152" s="5" t="s">
        <v>16</v>
      </c>
      <c r="G1152" s="6">
        <v>20000</v>
      </c>
      <c r="H1152" s="1145" t="str">
        <f>HYPERLINK("https://adv-map.ru/place/?LINK=ac94af01c93cd0565509fa5fb2e9a2d8","Ссылка")</f>
        <v>Ссылка</v>
      </c>
      <c r="I1152" s="5" t="s">
        <v>1187</v>
      </c>
    </row>
    <row r="1153" spans="1:9" s="4" customFormat="1" ht="38.1" customHeight="1" outlineLevel="1" x14ac:dyDescent="0.2">
      <c r="A1153" s="5" t="s">
        <v>340</v>
      </c>
      <c r="B1153" s="5" t="s">
        <v>345</v>
      </c>
      <c r="C1153" s="5" t="s">
        <v>1189</v>
      </c>
      <c r="D1153" s="5" t="s">
        <v>464</v>
      </c>
      <c r="E1153" s="5" t="s">
        <v>13</v>
      </c>
      <c r="F1153" s="5" t="s">
        <v>28</v>
      </c>
      <c r="G1153" s="6">
        <v>57750</v>
      </c>
      <c r="H1153" s="1146" t="str">
        <f>HYPERLINK("https://adv-map.ru/place/?LINK=09d779ec360206c2437384691515361f","Ссылка")</f>
        <v>Ссылка</v>
      </c>
      <c r="I1153" s="5" t="s">
        <v>1190</v>
      </c>
    </row>
    <row r="1154" spans="1:9" s="4" customFormat="1" ht="38.1" customHeight="1" outlineLevel="1" x14ac:dyDescent="0.2">
      <c r="A1154" s="5" t="s">
        <v>340</v>
      </c>
      <c r="B1154" s="5" t="s">
        <v>345</v>
      </c>
      <c r="C1154" s="5" t="s">
        <v>1189</v>
      </c>
      <c r="D1154" s="5" t="s">
        <v>464</v>
      </c>
      <c r="E1154" s="5" t="s">
        <v>13</v>
      </c>
      <c r="F1154" s="5" t="s">
        <v>466</v>
      </c>
      <c r="G1154" s="6">
        <v>57750</v>
      </c>
      <c r="H1154" s="1147" t="str">
        <f>HYPERLINK("https://adv-map.ru/place/?LINK=4fdb1e48b46648b73c4f0e601803732c","Ссылка")</f>
        <v>Ссылка</v>
      </c>
      <c r="I1154" s="5" t="s">
        <v>1190</v>
      </c>
    </row>
    <row r="1155" spans="1:9" s="4" customFormat="1" ht="38.1" customHeight="1" outlineLevel="1" x14ac:dyDescent="0.2">
      <c r="A1155" s="5" t="s">
        <v>340</v>
      </c>
      <c r="B1155" s="5" t="s">
        <v>345</v>
      </c>
      <c r="C1155" s="5" t="s">
        <v>1189</v>
      </c>
      <c r="D1155" s="5" t="s">
        <v>464</v>
      </c>
      <c r="E1155" s="5" t="s">
        <v>13</v>
      </c>
      <c r="F1155" s="5" t="s">
        <v>467</v>
      </c>
      <c r="G1155" s="6">
        <v>57750</v>
      </c>
      <c r="H1155" s="1148" t="str">
        <f>HYPERLINK("https://adv-map.ru/place/?LINK=6ee0582601de4c24978a41a3cb0cc7f9","Ссылка")</f>
        <v>Ссылка</v>
      </c>
      <c r="I1155" s="5" t="s">
        <v>1190</v>
      </c>
    </row>
    <row r="1156" spans="1:9" s="4" customFormat="1" ht="38.1" customHeight="1" outlineLevel="1" x14ac:dyDescent="0.2">
      <c r="A1156" s="5" t="s">
        <v>340</v>
      </c>
      <c r="B1156" s="5" t="s">
        <v>345</v>
      </c>
      <c r="C1156" s="5" t="s">
        <v>1189</v>
      </c>
      <c r="D1156" s="5" t="s">
        <v>464</v>
      </c>
      <c r="E1156" s="5" t="s">
        <v>13</v>
      </c>
      <c r="F1156" s="5" t="s">
        <v>468</v>
      </c>
      <c r="G1156" s="6">
        <v>57750</v>
      </c>
      <c r="H1156" s="1149" t="str">
        <f>HYPERLINK("https://adv-map.ru/place/?LINK=b0cc36cf63b2fdf2182d0503b8320960","Ссылка")</f>
        <v>Ссылка</v>
      </c>
      <c r="I1156" s="5" t="s">
        <v>1190</v>
      </c>
    </row>
    <row r="1157" spans="1:9" s="4" customFormat="1" ht="38.1" customHeight="1" outlineLevel="1" x14ac:dyDescent="0.2">
      <c r="A1157" s="5" t="s">
        <v>340</v>
      </c>
      <c r="B1157" s="5" t="s">
        <v>345</v>
      </c>
      <c r="C1157" s="5" t="s">
        <v>1189</v>
      </c>
      <c r="D1157" s="5" t="s">
        <v>464</v>
      </c>
      <c r="E1157" s="5" t="s">
        <v>13</v>
      </c>
      <c r="F1157" s="5" t="s">
        <v>30</v>
      </c>
      <c r="G1157" s="6">
        <v>57750</v>
      </c>
      <c r="H1157" s="1150" t="str">
        <f>HYPERLINK("https://adv-map.ru/place/?LINK=6951d405d11033b5344554d3fc0f48b0","Ссылка")</f>
        <v>Ссылка</v>
      </c>
      <c r="I1157" s="5" t="s">
        <v>1190</v>
      </c>
    </row>
    <row r="1158" spans="1:9" s="4" customFormat="1" ht="51" customHeight="1" outlineLevel="1" x14ac:dyDescent="0.2">
      <c r="A1158" s="5" t="s">
        <v>340</v>
      </c>
      <c r="B1158" s="5" t="s">
        <v>345</v>
      </c>
      <c r="C1158" s="5" t="s">
        <v>1189</v>
      </c>
      <c r="D1158" s="5" t="s">
        <v>464</v>
      </c>
      <c r="E1158" s="5" t="s">
        <v>13</v>
      </c>
      <c r="F1158" s="5" t="s">
        <v>31</v>
      </c>
      <c r="G1158" s="6">
        <v>57750</v>
      </c>
      <c r="H1158" s="1151" t="str">
        <f>HYPERLINK("https://adv-map.ru/place/?LINK=22e809b51686976ee9864065e22e8022","Ссылка")</f>
        <v>Ссылка</v>
      </c>
      <c r="I1158" s="5" t="s">
        <v>1190</v>
      </c>
    </row>
    <row r="1159" spans="1:9" s="4" customFormat="1" ht="38.1" customHeight="1" outlineLevel="1" x14ac:dyDescent="0.2">
      <c r="A1159" s="5" t="s">
        <v>340</v>
      </c>
      <c r="B1159" s="5" t="s">
        <v>345</v>
      </c>
      <c r="C1159" s="5" t="s">
        <v>1189</v>
      </c>
      <c r="D1159" s="5" t="s">
        <v>464</v>
      </c>
      <c r="E1159" s="5" t="s">
        <v>13</v>
      </c>
      <c r="F1159" s="5" t="s">
        <v>32</v>
      </c>
      <c r="G1159" s="6">
        <v>57750</v>
      </c>
      <c r="H1159" s="1152" t="str">
        <f>HYPERLINK("https://adv-map.ru/place/?LINK=0396de9af4fcd15449270226d27e6128","Ссылка")</f>
        <v>Ссылка</v>
      </c>
      <c r="I1159" s="5" t="s">
        <v>1190</v>
      </c>
    </row>
    <row r="1160" spans="1:9" s="4" customFormat="1" ht="38.1" customHeight="1" outlineLevel="1" x14ac:dyDescent="0.2">
      <c r="A1160" s="5" t="s">
        <v>340</v>
      </c>
      <c r="B1160" s="5" t="s">
        <v>345</v>
      </c>
      <c r="C1160" s="5" t="s">
        <v>1189</v>
      </c>
      <c r="D1160" s="5" t="s">
        <v>464</v>
      </c>
      <c r="E1160" s="5" t="s">
        <v>13</v>
      </c>
      <c r="F1160" s="5" t="s">
        <v>469</v>
      </c>
      <c r="G1160" s="6">
        <v>57750</v>
      </c>
      <c r="H1160" s="1153" t="str">
        <f>HYPERLINK("https://adv-map.ru/place/?LINK=08914abf1336eecb23e3b1714285baf1","Ссылка")</f>
        <v>Ссылка</v>
      </c>
      <c r="I1160" s="5" t="s">
        <v>1190</v>
      </c>
    </row>
    <row r="1161" spans="1:9" s="4" customFormat="1" ht="38.1" customHeight="1" outlineLevel="1" x14ac:dyDescent="0.2">
      <c r="A1161" s="5" t="s">
        <v>340</v>
      </c>
      <c r="B1161" s="5" t="s">
        <v>345</v>
      </c>
      <c r="C1161" s="5" t="s">
        <v>1189</v>
      </c>
      <c r="D1161" s="5" t="s">
        <v>464</v>
      </c>
      <c r="E1161" s="5" t="s">
        <v>13</v>
      </c>
      <c r="F1161" s="5" t="s">
        <v>470</v>
      </c>
      <c r="G1161" s="6">
        <v>57750</v>
      </c>
      <c r="H1161" s="1154" t="str">
        <f>HYPERLINK("https://adv-map.ru/place/?LINK=4abd92ec3b99b2dfe4d221d6d46e470a","Ссылка")</f>
        <v>Ссылка</v>
      </c>
      <c r="I1161" s="5" t="s">
        <v>1190</v>
      </c>
    </row>
    <row r="1162" spans="1:9" s="4" customFormat="1" ht="38.1" customHeight="1" outlineLevel="1" x14ac:dyDescent="0.2">
      <c r="A1162" s="5" t="s">
        <v>340</v>
      </c>
      <c r="B1162" s="5" t="s">
        <v>345</v>
      </c>
      <c r="C1162" s="5" t="s">
        <v>1189</v>
      </c>
      <c r="D1162" s="5" t="s">
        <v>464</v>
      </c>
      <c r="E1162" s="5" t="s">
        <v>13</v>
      </c>
      <c r="F1162" s="5" t="s">
        <v>471</v>
      </c>
      <c r="G1162" s="6">
        <v>57750</v>
      </c>
      <c r="H1162" s="1155" t="str">
        <f>HYPERLINK("https://adv-map.ru/place/?LINK=d735ce2e96c70460aa90480b63dc262a","Ссылка")</f>
        <v>Ссылка</v>
      </c>
      <c r="I1162" s="5" t="s">
        <v>1190</v>
      </c>
    </row>
    <row r="1163" spans="1:9" s="4" customFormat="1" ht="38.1" customHeight="1" outlineLevel="1" x14ac:dyDescent="0.2">
      <c r="A1163" s="5" t="s">
        <v>340</v>
      </c>
      <c r="B1163" s="5" t="s">
        <v>345</v>
      </c>
      <c r="C1163" s="5" t="s">
        <v>1189</v>
      </c>
      <c r="D1163" s="5" t="s">
        <v>464</v>
      </c>
      <c r="E1163" s="5" t="s">
        <v>13</v>
      </c>
      <c r="F1163" s="5" t="s">
        <v>472</v>
      </c>
      <c r="G1163" s="6">
        <v>57750</v>
      </c>
      <c r="H1163" s="1156" t="str">
        <f>HYPERLINK("https://adv-map.ru/place/?LINK=8c8ee64fad426d98fa57c21001842e74","Ссылка")</f>
        <v>Ссылка</v>
      </c>
      <c r="I1163" s="5" t="s">
        <v>1190</v>
      </c>
    </row>
    <row r="1164" spans="1:9" s="4" customFormat="1" ht="38.1" customHeight="1" outlineLevel="1" x14ac:dyDescent="0.2">
      <c r="A1164" s="5" t="s">
        <v>340</v>
      </c>
      <c r="B1164" s="5" t="s">
        <v>345</v>
      </c>
      <c r="C1164" s="5" t="s">
        <v>1189</v>
      </c>
      <c r="D1164" s="5" t="s">
        <v>464</v>
      </c>
      <c r="E1164" s="5" t="s">
        <v>13</v>
      </c>
      <c r="F1164" s="5" t="s">
        <v>473</v>
      </c>
      <c r="G1164" s="6">
        <v>57750</v>
      </c>
      <c r="H1164" s="1157" t="str">
        <f>HYPERLINK("https://adv-map.ru/place/?LINK=1f382fe38d4a5b9eeb838bc4dd7b93a4","Ссылка")</f>
        <v>Ссылка</v>
      </c>
      <c r="I1164" s="5" t="s">
        <v>1190</v>
      </c>
    </row>
    <row r="1165" spans="1:9" s="4" customFormat="1" ht="38.1" customHeight="1" outlineLevel="1" x14ac:dyDescent="0.2">
      <c r="A1165" s="5" t="s">
        <v>340</v>
      </c>
      <c r="B1165" s="5" t="s">
        <v>652</v>
      </c>
      <c r="C1165" s="5" t="s">
        <v>1191</v>
      </c>
      <c r="D1165" s="5" t="s">
        <v>347</v>
      </c>
      <c r="E1165" s="5" t="s">
        <v>348</v>
      </c>
      <c r="F1165" s="5" t="s">
        <v>14</v>
      </c>
      <c r="G1165" s="6">
        <v>22680</v>
      </c>
      <c r="H1165" s="1158" t="str">
        <f>HYPERLINK("https://adv-map.ru/place/?LINK=02c95517558bb6b5f6b4db926c157ed0","Ссылка")</f>
        <v>Ссылка</v>
      </c>
      <c r="I1165" s="5" t="s">
        <v>1192</v>
      </c>
    </row>
    <row r="1166" spans="1:9" s="4" customFormat="1" ht="38.1" customHeight="1" outlineLevel="1" x14ac:dyDescent="0.2">
      <c r="A1166" s="5" t="s">
        <v>340</v>
      </c>
      <c r="B1166" s="5" t="s">
        <v>652</v>
      </c>
      <c r="C1166" s="5" t="s">
        <v>1191</v>
      </c>
      <c r="D1166" s="5" t="s">
        <v>347</v>
      </c>
      <c r="E1166" s="5" t="s">
        <v>348</v>
      </c>
      <c r="F1166" s="5" t="s">
        <v>16</v>
      </c>
      <c r="G1166" s="6">
        <v>17640</v>
      </c>
      <c r="H1166" s="1159" t="str">
        <f>HYPERLINK("https://adv-map.ru/place/?LINK=229e7daa6aee8089f9f5a5e30d57d0ec","Ссылка")</f>
        <v>Ссылка</v>
      </c>
      <c r="I1166" s="5" t="s">
        <v>1192</v>
      </c>
    </row>
    <row r="1167" spans="1:9" s="4" customFormat="1" ht="38.1" customHeight="1" outlineLevel="1" x14ac:dyDescent="0.2">
      <c r="A1167" s="5" t="s">
        <v>340</v>
      </c>
      <c r="B1167" s="5" t="s">
        <v>652</v>
      </c>
      <c r="C1167" s="5" t="s">
        <v>1193</v>
      </c>
      <c r="D1167" s="5" t="s">
        <v>347</v>
      </c>
      <c r="E1167" s="5" t="s">
        <v>348</v>
      </c>
      <c r="F1167" s="5" t="s">
        <v>14</v>
      </c>
      <c r="G1167" s="6">
        <v>22680</v>
      </c>
      <c r="H1167" s="1160" t="str">
        <f>HYPERLINK("https://adv-map.ru/place/?LINK=6b04ccd26bcfb915e1f6f1b24829ecf4","Ссылка")</f>
        <v>Ссылка</v>
      </c>
      <c r="I1167" s="5" t="s">
        <v>1194</v>
      </c>
    </row>
    <row r="1168" spans="1:9" s="4" customFormat="1" ht="38.1" customHeight="1" outlineLevel="1" x14ac:dyDescent="0.2">
      <c r="A1168" s="5" t="s">
        <v>340</v>
      </c>
      <c r="B1168" s="5" t="s">
        <v>652</v>
      </c>
      <c r="C1168" s="5" t="s">
        <v>1193</v>
      </c>
      <c r="D1168" s="5" t="s">
        <v>347</v>
      </c>
      <c r="E1168" s="5" t="s">
        <v>348</v>
      </c>
      <c r="F1168" s="5" t="s">
        <v>16</v>
      </c>
      <c r="G1168" s="6">
        <v>17640</v>
      </c>
      <c r="H1168" s="1161" t="str">
        <f>HYPERLINK("https://adv-map.ru/place/?LINK=3268e9b8c8da4e1fbc4320367347d084","Ссылка")</f>
        <v>Ссылка</v>
      </c>
      <c r="I1168" s="5" t="s">
        <v>1194</v>
      </c>
    </row>
    <row r="1169" spans="1:9" s="4" customFormat="1" ht="51" customHeight="1" outlineLevel="1" x14ac:dyDescent="0.2">
      <c r="A1169" s="5" t="s">
        <v>340</v>
      </c>
      <c r="B1169" s="5" t="s">
        <v>652</v>
      </c>
      <c r="C1169" s="5" t="s">
        <v>1195</v>
      </c>
      <c r="D1169" s="5" t="s">
        <v>347</v>
      </c>
      <c r="E1169" s="5" t="s">
        <v>348</v>
      </c>
      <c r="F1169" s="5" t="s">
        <v>14</v>
      </c>
      <c r="G1169" s="6">
        <v>22680</v>
      </c>
      <c r="H1169" s="1162" t="str">
        <f>HYPERLINK("https://adv-map.ru/place/?LINK=7936928189036e07607a069270d97840","Ссылка")</f>
        <v>Ссылка</v>
      </c>
      <c r="I1169" s="5" t="s">
        <v>1196</v>
      </c>
    </row>
    <row r="1170" spans="1:9" s="4" customFormat="1" ht="38.1" customHeight="1" outlineLevel="1" x14ac:dyDescent="0.2">
      <c r="A1170" s="5" t="s">
        <v>340</v>
      </c>
      <c r="B1170" s="5" t="s">
        <v>652</v>
      </c>
      <c r="C1170" s="5" t="s">
        <v>1195</v>
      </c>
      <c r="D1170" s="5" t="s">
        <v>347</v>
      </c>
      <c r="E1170" s="5" t="s">
        <v>348</v>
      </c>
      <c r="F1170" s="5" t="s">
        <v>16</v>
      </c>
      <c r="G1170" s="6">
        <v>17640</v>
      </c>
      <c r="H1170" s="1163" t="str">
        <f>HYPERLINK("https://adv-map.ru/place/?LINK=04df83ee276fe5707612ef32f5a65818","Ссылка")</f>
        <v>Ссылка</v>
      </c>
      <c r="I1170" s="5" t="s">
        <v>1196</v>
      </c>
    </row>
    <row r="1171" spans="1:9" s="4" customFormat="1" ht="38.1" customHeight="1" outlineLevel="1" x14ac:dyDescent="0.2">
      <c r="A1171" s="5" t="s">
        <v>340</v>
      </c>
      <c r="B1171" s="5" t="s">
        <v>365</v>
      </c>
      <c r="C1171" s="5" t="s">
        <v>1197</v>
      </c>
      <c r="D1171" s="5" t="s">
        <v>396</v>
      </c>
      <c r="E1171" s="5" t="s">
        <v>397</v>
      </c>
      <c r="F1171" s="5" t="s">
        <v>28</v>
      </c>
      <c r="G1171" s="6">
        <v>25200</v>
      </c>
      <c r="H1171" s="1164" t="str">
        <f>HYPERLINK("https://adv-map.ru/place/?LINK=3d4481edd1c1cdfb236bae4034fed560","Ссылка")</f>
        <v>Ссылка</v>
      </c>
      <c r="I1171" s="5" t="s">
        <v>1198</v>
      </c>
    </row>
    <row r="1172" spans="1:9" s="4" customFormat="1" ht="38.1" customHeight="1" outlineLevel="1" x14ac:dyDescent="0.2">
      <c r="A1172" s="5" t="s">
        <v>340</v>
      </c>
      <c r="B1172" s="5" t="s">
        <v>365</v>
      </c>
      <c r="C1172" s="5" t="s">
        <v>1197</v>
      </c>
      <c r="D1172" s="5" t="s">
        <v>396</v>
      </c>
      <c r="E1172" s="5" t="s">
        <v>397</v>
      </c>
      <c r="F1172" s="5" t="s">
        <v>30</v>
      </c>
      <c r="G1172" s="6">
        <v>20160</v>
      </c>
      <c r="H1172" s="1165" t="str">
        <f>HYPERLINK("https://adv-map.ru/place/?LINK=5182b0e8568982d224b4f2268ec9ab39","Ссылка")</f>
        <v>Ссылка</v>
      </c>
      <c r="I1172" s="5" t="s">
        <v>1198</v>
      </c>
    </row>
    <row r="1173" spans="1:9" s="4" customFormat="1" ht="38.1" customHeight="1" outlineLevel="1" x14ac:dyDescent="0.2">
      <c r="A1173" s="5" t="s">
        <v>340</v>
      </c>
      <c r="B1173" s="5" t="s">
        <v>365</v>
      </c>
      <c r="C1173" s="5" t="s">
        <v>1197</v>
      </c>
      <c r="D1173" s="5" t="s">
        <v>396</v>
      </c>
      <c r="E1173" s="5" t="s">
        <v>397</v>
      </c>
      <c r="F1173" s="5" t="s">
        <v>31</v>
      </c>
      <c r="G1173" s="6">
        <v>15120</v>
      </c>
      <c r="H1173" s="1166" t="str">
        <f>HYPERLINK("https://adv-map.ru/place/?LINK=3ed939899f9e3c05964ebc5c88a061f1","Ссылка")</f>
        <v>Ссылка</v>
      </c>
      <c r="I1173" s="5" t="s">
        <v>1198</v>
      </c>
    </row>
    <row r="1174" spans="1:9" s="4" customFormat="1" ht="38.1" customHeight="1" outlineLevel="1" x14ac:dyDescent="0.2">
      <c r="A1174" s="5" t="s">
        <v>340</v>
      </c>
      <c r="B1174" s="5" t="s">
        <v>546</v>
      </c>
      <c r="C1174" s="5" t="s">
        <v>1199</v>
      </c>
      <c r="D1174" s="5" t="s">
        <v>396</v>
      </c>
      <c r="E1174" s="5" t="s">
        <v>397</v>
      </c>
      <c r="F1174" s="5" t="s">
        <v>28</v>
      </c>
      <c r="G1174" s="6">
        <v>30240</v>
      </c>
      <c r="H1174" s="1167" t="str">
        <f>HYPERLINK("https://adv-map.ru/place/?LINK=8d2a156d55f7f2394b03c2d3fb6a6abc","Ссылка")</f>
        <v>Ссылка</v>
      </c>
      <c r="I1174" s="5" t="s">
        <v>1200</v>
      </c>
    </row>
    <row r="1175" spans="1:9" s="4" customFormat="1" ht="38.1" customHeight="1" outlineLevel="1" x14ac:dyDescent="0.2">
      <c r="A1175" s="5" t="s">
        <v>340</v>
      </c>
      <c r="B1175" s="5" t="s">
        <v>546</v>
      </c>
      <c r="C1175" s="5" t="s">
        <v>1199</v>
      </c>
      <c r="D1175" s="5" t="s">
        <v>396</v>
      </c>
      <c r="E1175" s="5" t="s">
        <v>397</v>
      </c>
      <c r="F1175" s="5" t="s">
        <v>30</v>
      </c>
      <c r="G1175" s="6">
        <v>25200</v>
      </c>
      <c r="H1175" s="1168" t="str">
        <f>HYPERLINK("https://adv-map.ru/place/?LINK=78b6823db39cd55576eec41b7981fb92","Ссылка")</f>
        <v>Ссылка</v>
      </c>
      <c r="I1175" s="5" t="s">
        <v>1200</v>
      </c>
    </row>
    <row r="1176" spans="1:9" s="4" customFormat="1" ht="38.1" customHeight="1" outlineLevel="1" x14ac:dyDescent="0.2">
      <c r="A1176" s="5" t="s">
        <v>340</v>
      </c>
      <c r="B1176" s="5" t="s">
        <v>546</v>
      </c>
      <c r="C1176" s="5" t="s">
        <v>1199</v>
      </c>
      <c r="D1176" s="5" t="s">
        <v>396</v>
      </c>
      <c r="E1176" s="5" t="s">
        <v>397</v>
      </c>
      <c r="F1176" s="5" t="s">
        <v>31</v>
      </c>
      <c r="G1176" s="6">
        <v>20160</v>
      </c>
      <c r="H1176" s="1169" t="str">
        <f>HYPERLINK("https://adv-map.ru/place/?LINK=d9cfe7ad6eeb0c3ee0a08e9dba19e335","Ссылка")</f>
        <v>Ссылка</v>
      </c>
      <c r="I1176" s="5" t="s">
        <v>1200</v>
      </c>
    </row>
    <row r="1177" spans="1:9" s="4" customFormat="1" ht="38.1" customHeight="1" outlineLevel="1" x14ac:dyDescent="0.2">
      <c r="A1177" s="5" t="s">
        <v>340</v>
      </c>
      <c r="B1177" s="5" t="s">
        <v>365</v>
      </c>
      <c r="C1177" s="5" t="s">
        <v>1201</v>
      </c>
      <c r="D1177" s="5" t="s">
        <v>396</v>
      </c>
      <c r="E1177" s="5" t="s">
        <v>397</v>
      </c>
      <c r="F1177" s="5" t="s">
        <v>28</v>
      </c>
      <c r="G1177" s="6">
        <v>31500</v>
      </c>
      <c r="H1177" s="1170" t="str">
        <f>HYPERLINK("https://adv-map.ru/place/?LINK=579c4f43a7f80c4b73b3095c3183b221","Ссылка")</f>
        <v>Ссылка</v>
      </c>
      <c r="I1177" s="5" t="s">
        <v>1202</v>
      </c>
    </row>
    <row r="1178" spans="1:9" s="4" customFormat="1" ht="51" customHeight="1" outlineLevel="1" x14ac:dyDescent="0.2">
      <c r="A1178" s="5" t="s">
        <v>340</v>
      </c>
      <c r="B1178" s="5" t="s">
        <v>365</v>
      </c>
      <c r="C1178" s="5" t="s">
        <v>1201</v>
      </c>
      <c r="D1178" s="5" t="s">
        <v>396</v>
      </c>
      <c r="E1178" s="5" t="s">
        <v>397</v>
      </c>
      <c r="F1178" s="5" t="s">
        <v>30</v>
      </c>
      <c r="G1178" s="6">
        <v>25200</v>
      </c>
      <c r="H1178" s="1171" t="str">
        <f>HYPERLINK("https://adv-map.ru/place/?LINK=3594648d88c30e23a575101505a003b5","Ссылка")</f>
        <v>Ссылка</v>
      </c>
      <c r="I1178" s="5" t="s">
        <v>1202</v>
      </c>
    </row>
    <row r="1179" spans="1:9" s="4" customFormat="1" ht="38.1" customHeight="1" outlineLevel="1" x14ac:dyDescent="0.2">
      <c r="A1179" s="5" t="s">
        <v>340</v>
      </c>
      <c r="B1179" s="5" t="s">
        <v>365</v>
      </c>
      <c r="C1179" s="5" t="s">
        <v>1201</v>
      </c>
      <c r="D1179" s="5" t="s">
        <v>396</v>
      </c>
      <c r="E1179" s="5" t="s">
        <v>397</v>
      </c>
      <c r="F1179" s="5" t="s">
        <v>31</v>
      </c>
      <c r="G1179" s="6">
        <v>20160</v>
      </c>
      <c r="H1179" s="1172" t="str">
        <f>HYPERLINK("https://adv-map.ru/place/?LINK=8f91be1623722e5a20bd22c33b9da2b1","Ссылка")</f>
        <v>Ссылка</v>
      </c>
      <c r="I1179" s="5" t="s">
        <v>1202</v>
      </c>
    </row>
    <row r="1180" spans="1:9" s="4" customFormat="1" ht="38.1" customHeight="1" outlineLevel="1" x14ac:dyDescent="0.2">
      <c r="A1180" s="5" t="s">
        <v>340</v>
      </c>
      <c r="B1180" s="5" t="s">
        <v>546</v>
      </c>
      <c r="C1180" s="5" t="s">
        <v>1203</v>
      </c>
      <c r="D1180" s="5" t="s">
        <v>347</v>
      </c>
      <c r="E1180" s="5" t="s">
        <v>348</v>
      </c>
      <c r="F1180" s="5" t="s">
        <v>14</v>
      </c>
      <c r="G1180" s="6">
        <v>25200</v>
      </c>
      <c r="H1180" s="1173" t="str">
        <f>HYPERLINK("https://adv-map.ru/place/?LINK=654ab47dc5326105722d52b8f31d2dce","Ссылка")</f>
        <v>Ссылка</v>
      </c>
      <c r="I1180" s="5" t="s">
        <v>1204</v>
      </c>
    </row>
    <row r="1181" spans="1:9" s="4" customFormat="1" ht="38.1" customHeight="1" outlineLevel="1" x14ac:dyDescent="0.2">
      <c r="A1181" s="5" t="s">
        <v>340</v>
      </c>
      <c r="B1181" s="5" t="s">
        <v>546</v>
      </c>
      <c r="C1181" s="5" t="s">
        <v>1203</v>
      </c>
      <c r="D1181" s="5" t="s">
        <v>347</v>
      </c>
      <c r="E1181" s="5" t="s">
        <v>348</v>
      </c>
      <c r="F1181" s="5" t="s">
        <v>16</v>
      </c>
      <c r="G1181" s="6">
        <v>17640</v>
      </c>
      <c r="H1181" s="1174" t="str">
        <f>HYPERLINK("https://adv-map.ru/place/?LINK=ce91dc994fed86318fd492cc3a1448b5","Ссылка")</f>
        <v>Ссылка</v>
      </c>
      <c r="I1181" s="5" t="s">
        <v>1204</v>
      </c>
    </row>
    <row r="1182" spans="1:9" s="4" customFormat="1" ht="38.1" customHeight="1" outlineLevel="1" x14ac:dyDescent="0.2">
      <c r="A1182" s="5" t="s">
        <v>340</v>
      </c>
      <c r="B1182" s="5" t="s">
        <v>365</v>
      </c>
      <c r="C1182" s="5" t="s">
        <v>1205</v>
      </c>
      <c r="D1182" s="5" t="s">
        <v>347</v>
      </c>
      <c r="E1182" s="5" t="s">
        <v>348</v>
      </c>
      <c r="F1182" s="5" t="s">
        <v>14</v>
      </c>
      <c r="G1182" s="6">
        <v>22680</v>
      </c>
      <c r="H1182" s="1175" t="str">
        <f>HYPERLINK("https://adv-map.ru/place/?LINK=39583f01aba323432da2c44b1b4f03d6","Ссылка")</f>
        <v>Ссылка</v>
      </c>
      <c r="I1182" s="5" t="s">
        <v>1206</v>
      </c>
    </row>
    <row r="1183" spans="1:9" s="4" customFormat="1" ht="38.1" customHeight="1" outlineLevel="1" x14ac:dyDescent="0.2">
      <c r="A1183" s="5" t="s">
        <v>340</v>
      </c>
      <c r="B1183" s="5" t="s">
        <v>365</v>
      </c>
      <c r="C1183" s="5" t="s">
        <v>1205</v>
      </c>
      <c r="D1183" s="5" t="s">
        <v>347</v>
      </c>
      <c r="E1183" s="5" t="s">
        <v>348</v>
      </c>
      <c r="F1183" s="5" t="s">
        <v>16</v>
      </c>
      <c r="G1183" s="6">
        <v>17640</v>
      </c>
      <c r="H1183" s="1176" t="str">
        <f>HYPERLINK("https://adv-map.ru/place/?LINK=fbf4ccac2d6f907f020dbb7b13651172","Ссылка")</f>
        <v>Ссылка</v>
      </c>
      <c r="I1183" s="5" t="s">
        <v>1207</v>
      </c>
    </row>
    <row r="1184" spans="1:9" s="4" customFormat="1" ht="38.1" customHeight="1" outlineLevel="1" x14ac:dyDescent="0.2">
      <c r="A1184" s="5" t="s">
        <v>340</v>
      </c>
      <c r="B1184" s="5" t="s">
        <v>365</v>
      </c>
      <c r="C1184" s="5" t="s">
        <v>1208</v>
      </c>
      <c r="D1184" s="5" t="s">
        <v>347</v>
      </c>
      <c r="E1184" s="5" t="s">
        <v>348</v>
      </c>
      <c r="F1184" s="5" t="s">
        <v>14</v>
      </c>
      <c r="G1184" s="6">
        <v>25200</v>
      </c>
      <c r="H1184" s="1177" t="str">
        <f>HYPERLINK("https://adv-map.ru/place/?LINK=ad23ce83318ca626739fc79a29ce3593","Ссылка")</f>
        <v>Ссылка</v>
      </c>
      <c r="I1184" s="5" t="s">
        <v>1209</v>
      </c>
    </row>
    <row r="1185" spans="1:9" s="4" customFormat="1" ht="38.1" customHeight="1" outlineLevel="1" x14ac:dyDescent="0.2">
      <c r="A1185" s="5" t="s">
        <v>340</v>
      </c>
      <c r="B1185" s="5" t="s">
        <v>365</v>
      </c>
      <c r="C1185" s="5" t="s">
        <v>1208</v>
      </c>
      <c r="D1185" s="5" t="s">
        <v>347</v>
      </c>
      <c r="E1185" s="5" t="s">
        <v>348</v>
      </c>
      <c r="F1185" s="5" t="s">
        <v>16</v>
      </c>
      <c r="G1185" s="6">
        <v>17640</v>
      </c>
      <c r="H1185" s="1178" t="str">
        <f>HYPERLINK("https://adv-map.ru/place/?LINK=5027b71eb5f48235989ddcbe11c0118b","Ссылка")</f>
        <v>Ссылка</v>
      </c>
      <c r="I1185" s="5" t="s">
        <v>1209</v>
      </c>
    </row>
    <row r="1186" spans="1:9" s="4" customFormat="1" ht="38.1" customHeight="1" outlineLevel="1" x14ac:dyDescent="0.2">
      <c r="A1186" s="5" t="s">
        <v>340</v>
      </c>
      <c r="B1186" s="5" t="s">
        <v>365</v>
      </c>
      <c r="C1186" s="5" t="s">
        <v>1210</v>
      </c>
      <c r="D1186" s="5" t="s">
        <v>396</v>
      </c>
      <c r="E1186" s="5" t="s">
        <v>397</v>
      </c>
      <c r="F1186" s="5" t="s">
        <v>14</v>
      </c>
      <c r="G1186" s="6">
        <v>35280</v>
      </c>
      <c r="H1186" s="1179" t="str">
        <f>HYPERLINK("https://adv-map.ru/place/?LINK=1cc6adad4c2960389f66783db5f2f16c","Ссылка")</f>
        <v>Ссылка</v>
      </c>
      <c r="I1186" s="5" t="s">
        <v>1211</v>
      </c>
    </row>
    <row r="1187" spans="1:9" s="4" customFormat="1" ht="38.1" customHeight="1" outlineLevel="1" x14ac:dyDescent="0.2">
      <c r="A1187" s="5" t="s">
        <v>340</v>
      </c>
      <c r="B1187" s="5" t="s">
        <v>365</v>
      </c>
      <c r="C1187" s="5" t="s">
        <v>1210</v>
      </c>
      <c r="D1187" s="5" t="s">
        <v>396</v>
      </c>
      <c r="E1187" s="5" t="s">
        <v>397</v>
      </c>
      <c r="F1187" s="5" t="s">
        <v>16</v>
      </c>
      <c r="G1187" s="6">
        <v>30240</v>
      </c>
      <c r="H1187" s="1180" t="str">
        <f>HYPERLINK("https://adv-map.ru/place/?LINK=8e6796b3fdf71da523e302029dc17b70","Ссылка")</f>
        <v>Ссылка</v>
      </c>
      <c r="I1187" s="5" t="s">
        <v>1211</v>
      </c>
    </row>
    <row r="1188" spans="1:9" s="4" customFormat="1" ht="38.1" customHeight="1" outlineLevel="1" x14ac:dyDescent="0.2">
      <c r="A1188" s="5" t="s">
        <v>340</v>
      </c>
      <c r="B1188" s="5" t="s">
        <v>546</v>
      </c>
      <c r="C1188" s="5" t="s">
        <v>1212</v>
      </c>
      <c r="D1188" s="5" t="s">
        <v>347</v>
      </c>
      <c r="E1188" s="5" t="s">
        <v>348</v>
      </c>
      <c r="F1188" s="5" t="s">
        <v>14</v>
      </c>
      <c r="G1188" s="6">
        <v>25200</v>
      </c>
      <c r="H1188" s="1181" t="str">
        <f>HYPERLINK("https://adv-map.ru/place/?LINK=034abafd98e11a7c79c78116b7048761","Ссылка")</f>
        <v>Ссылка</v>
      </c>
      <c r="I1188" s="5" t="s">
        <v>1213</v>
      </c>
    </row>
    <row r="1189" spans="1:9" s="4" customFormat="1" ht="38.1" customHeight="1" outlineLevel="1" x14ac:dyDescent="0.2">
      <c r="A1189" s="5" t="s">
        <v>340</v>
      </c>
      <c r="B1189" s="5" t="s">
        <v>546</v>
      </c>
      <c r="C1189" s="5" t="s">
        <v>1212</v>
      </c>
      <c r="D1189" s="5" t="s">
        <v>347</v>
      </c>
      <c r="E1189" s="5" t="s">
        <v>348</v>
      </c>
      <c r="F1189" s="5" t="s">
        <v>16</v>
      </c>
      <c r="G1189" s="6">
        <v>17640</v>
      </c>
      <c r="H1189" s="1182" t="str">
        <f>HYPERLINK("https://adv-map.ru/place/?LINK=2c2987d7f18e2bdaf902589f0afe3b52","Ссылка")</f>
        <v>Ссылка</v>
      </c>
      <c r="I1189" s="5" t="s">
        <v>1213</v>
      </c>
    </row>
    <row r="1190" spans="1:9" s="4" customFormat="1" ht="38.1" customHeight="1" outlineLevel="1" x14ac:dyDescent="0.2">
      <c r="A1190" s="5" t="s">
        <v>340</v>
      </c>
      <c r="B1190" s="5" t="s">
        <v>546</v>
      </c>
      <c r="C1190" s="5" t="s">
        <v>1214</v>
      </c>
      <c r="D1190" s="5" t="s">
        <v>405</v>
      </c>
      <c r="E1190" s="5" t="s">
        <v>348</v>
      </c>
      <c r="F1190" s="5" t="s">
        <v>14</v>
      </c>
      <c r="G1190" s="6">
        <v>25200</v>
      </c>
      <c r="H1190" s="1183" t="str">
        <f>HYPERLINK("https://adv-map.ru/place/?LINK=79e3bd7995d859f4d7bfd41a8d3326bb","Ссылка")</f>
        <v>Ссылка</v>
      </c>
      <c r="I1190" s="5" t="s">
        <v>1215</v>
      </c>
    </row>
    <row r="1191" spans="1:9" s="4" customFormat="1" ht="38.1" customHeight="1" outlineLevel="1" x14ac:dyDescent="0.2">
      <c r="A1191" s="5" t="s">
        <v>340</v>
      </c>
      <c r="B1191" s="5" t="s">
        <v>546</v>
      </c>
      <c r="C1191" s="5" t="s">
        <v>1214</v>
      </c>
      <c r="D1191" s="5" t="s">
        <v>405</v>
      </c>
      <c r="E1191" s="5" t="s">
        <v>348</v>
      </c>
      <c r="F1191" s="5" t="s">
        <v>16</v>
      </c>
      <c r="G1191" s="6">
        <v>17640</v>
      </c>
      <c r="H1191" s="1184" t="str">
        <f>HYPERLINK("https://adv-map.ru/place/?LINK=3af04b2fc10e2f89e60cdfffa5d9effa","Ссылка")</f>
        <v>Ссылка</v>
      </c>
      <c r="I1191" s="5" t="s">
        <v>1215</v>
      </c>
    </row>
    <row r="1192" spans="1:9" s="4" customFormat="1" ht="38.1" customHeight="1" outlineLevel="1" x14ac:dyDescent="0.2">
      <c r="A1192" s="5" t="s">
        <v>340</v>
      </c>
      <c r="B1192" s="5" t="s">
        <v>546</v>
      </c>
      <c r="C1192" s="5" t="s">
        <v>1216</v>
      </c>
      <c r="D1192" s="5" t="s">
        <v>347</v>
      </c>
      <c r="E1192" s="5" t="s">
        <v>348</v>
      </c>
      <c r="F1192" s="5" t="s">
        <v>14</v>
      </c>
      <c r="G1192" s="6">
        <v>25200</v>
      </c>
      <c r="H1192" s="1185" t="str">
        <f>HYPERLINK("https://adv-map.ru/place/?LINK=79620681f74b1ab1676cd59376314521","Ссылка")</f>
        <v>Ссылка</v>
      </c>
      <c r="I1192" s="5" t="s">
        <v>1217</v>
      </c>
    </row>
    <row r="1193" spans="1:9" s="4" customFormat="1" ht="38.1" customHeight="1" outlineLevel="1" x14ac:dyDescent="0.2">
      <c r="A1193" s="5" t="s">
        <v>340</v>
      </c>
      <c r="B1193" s="5" t="s">
        <v>546</v>
      </c>
      <c r="C1193" s="5" t="s">
        <v>1218</v>
      </c>
      <c r="D1193" s="5" t="s">
        <v>347</v>
      </c>
      <c r="E1193" s="5" t="s">
        <v>348</v>
      </c>
      <c r="F1193" s="5" t="s">
        <v>16</v>
      </c>
      <c r="G1193" s="6">
        <v>17640</v>
      </c>
      <c r="H1193" s="1186" t="str">
        <f>HYPERLINK("https://adv-map.ru/place/?LINK=aa14ffdfd9ff703879826e8699710893","Ссылка")</f>
        <v>Ссылка</v>
      </c>
      <c r="I1193" s="5" t="s">
        <v>1219</v>
      </c>
    </row>
    <row r="1194" spans="1:9" s="4" customFormat="1" ht="38.1" customHeight="1" outlineLevel="1" x14ac:dyDescent="0.2">
      <c r="A1194" s="5" t="s">
        <v>340</v>
      </c>
      <c r="B1194" s="5" t="s">
        <v>365</v>
      </c>
      <c r="C1194" s="5" t="s">
        <v>1220</v>
      </c>
      <c r="D1194" s="5" t="s">
        <v>347</v>
      </c>
      <c r="E1194" s="5" t="s">
        <v>348</v>
      </c>
      <c r="F1194" s="5" t="s">
        <v>14</v>
      </c>
      <c r="G1194" s="6">
        <v>22680</v>
      </c>
      <c r="H1194" s="1187" t="str">
        <f>HYPERLINK("https://adv-map.ru/place/?LINK=c4f3db76a9a0a7d9322a616effd50793","Ссылка")</f>
        <v>Ссылка</v>
      </c>
      <c r="I1194" s="5" t="s">
        <v>1221</v>
      </c>
    </row>
    <row r="1195" spans="1:9" s="4" customFormat="1" ht="38.1" customHeight="1" outlineLevel="1" x14ac:dyDescent="0.2">
      <c r="A1195" s="5" t="s">
        <v>340</v>
      </c>
      <c r="B1195" s="5" t="s">
        <v>365</v>
      </c>
      <c r="C1195" s="5" t="s">
        <v>1220</v>
      </c>
      <c r="D1195" s="5" t="s">
        <v>347</v>
      </c>
      <c r="E1195" s="5" t="s">
        <v>348</v>
      </c>
      <c r="F1195" s="5" t="s">
        <v>16</v>
      </c>
      <c r="G1195" s="6">
        <v>17640</v>
      </c>
      <c r="H1195" s="1188" t="str">
        <f>HYPERLINK("https://adv-map.ru/place/?LINK=8a78bd6fc9a87a4dfcebeb32e491aafd","Ссылка")</f>
        <v>Ссылка</v>
      </c>
      <c r="I1195" s="5" t="s">
        <v>1221</v>
      </c>
    </row>
    <row r="1196" spans="1:9" s="4" customFormat="1" ht="51" customHeight="1" outlineLevel="1" x14ac:dyDescent="0.2">
      <c r="A1196" s="5" t="s">
        <v>340</v>
      </c>
      <c r="B1196" s="5" t="s">
        <v>365</v>
      </c>
      <c r="C1196" s="5" t="s">
        <v>1222</v>
      </c>
      <c r="D1196" s="5" t="s">
        <v>347</v>
      </c>
      <c r="E1196" s="5" t="s">
        <v>348</v>
      </c>
      <c r="F1196" s="5" t="s">
        <v>14</v>
      </c>
      <c r="G1196" s="6">
        <v>23100</v>
      </c>
      <c r="H1196" s="1189" t="str">
        <f>HYPERLINK("https://adv-map.ru/place/?LINK=c85d1b55b2be3eb49e2e07d2ebbd42d6","Ссылка")</f>
        <v>Ссылка</v>
      </c>
      <c r="I1196" s="5" t="s">
        <v>1223</v>
      </c>
    </row>
    <row r="1197" spans="1:9" s="4" customFormat="1" ht="38.1" customHeight="1" outlineLevel="1" x14ac:dyDescent="0.2">
      <c r="A1197" s="5" t="s">
        <v>340</v>
      </c>
      <c r="B1197" s="5" t="s">
        <v>365</v>
      </c>
      <c r="C1197" s="5" t="s">
        <v>1222</v>
      </c>
      <c r="D1197" s="5" t="s">
        <v>347</v>
      </c>
      <c r="E1197" s="5" t="s">
        <v>348</v>
      </c>
      <c r="F1197" s="5" t="s">
        <v>16</v>
      </c>
      <c r="G1197" s="6">
        <v>17850</v>
      </c>
      <c r="H1197" s="1190" t="str">
        <f>HYPERLINK("https://adv-map.ru/place/?LINK=48e35d7a8e489af70cba8429a6244432","Ссылка")</f>
        <v>Ссылка</v>
      </c>
      <c r="I1197" s="5" t="s">
        <v>1223</v>
      </c>
    </row>
    <row r="1198" spans="1:9" s="4" customFormat="1" ht="38.1" customHeight="1" outlineLevel="1" x14ac:dyDescent="0.2">
      <c r="A1198" s="5" t="s">
        <v>340</v>
      </c>
      <c r="B1198" s="5" t="s">
        <v>365</v>
      </c>
      <c r="C1198" s="5" t="s">
        <v>1224</v>
      </c>
      <c r="D1198" s="5" t="s">
        <v>405</v>
      </c>
      <c r="E1198" s="5" t="s">
        <v>348</v>
      </c>
      <c r="F1198" s="5" t="s">
        <v>14</v>
      </c>
      <c r="G1198" s="6">
        <v>22680</v>
      </c>
      <c r="H1198" s="1191" t="str">
        <f>HYPERLINK("https://adv-map.ru/place/?LINK=d667aeeae932e8b5ffbcd01a6609a222","Ссылка")</f>
        <v>Ссылка</v>
      </c>
      <c r="I1198" s="5" t="s">
        <v>1225</v>
      </c>
    </row>
    <row r="1199" spans="1:9" s="4" customFormat="1" ht="38.1" customHeight="1" outlineLevel="1" x14ac:dyDescent="0.2">
      <c r="A1199" s="5" t="s">
        <v>340</v>
      </c>
      <c r="B1199" s="5" t="s">
        <v>365</v>
      </c>
      <c r="C1199" s="5" t="s">
        <v>1224</v>
      </c>
      <c r="D1199" s="5" t="s">
        <v>405</v>
      </c>
      <c r="E1199" s="5" t="s">
        <v>348</v>
      </c>
      <c r="F1199" s="5" t="s">
        <v>16</v>
      </c>
      <c r="G1199" s="6">
        <v>17640</v>
      </c>
      <c r="H1199" s="1192" t="str">
        <f>HYPERLINK("https://adv-map.ru/place/?LINK=3d093a6db49c3b545d1d3ac24e962cd2","Ссылка")</f>
        <v>Ссылка</v>
      </c>
      <c r="I1199" s="5" t="s">
        <v>1225</v>
      </c>
    </row>
    <row r="1200" spans="1:9" s="4" customFormat="1" ht="38.1" customHeight="1" outlineLevel="1" x14ac:dyDescent="0.2">
      <c r="A1200" s="5" t="s">
        <v>340</v>
      </c>
      <c r="B1200" s="5" t="s">
        <v>365</v>
      </c>
      <c r="C1200" s="5" t="s">
        <v>1226</v>
      </c>
      <c r="D1200" s="5" t="s">
        <v>396</v>
      </c>
      <c r="E1200" s="5" t="s">
        <v>397</v>
      </c>
      <c r="F1200" s="5" t="s">
        <v>28</v>
      </c>
      <c r="G1200" s="6">
        <v>35280</v>
      </c>
      <c r="H1200" s="1193" t="str">
        <f>HYPERLINK("https://adv-map.ru/place/?LINK=eeba86f2aa85a657c439d577677ddd31","Ссылка")</f>
        <v>Ссылка</v>
      </c>
      <c r="I1200" s="5" t="s">
        <v>1227</v>
      </c>
    </row>
    <row r="1201" spans="1:9" s="4" customFormat="1" ht="38.1" customHeight="1" outlineLevel="1" x14ac:dyDescent="0.2">
      <c r="A1201" s="5" t="s">
        <v>340</v>
      </c>
      <c r="B1201" s="5" t="s">
        <v>365</v>
      </c>
      <c r="C1201" s="5" t="s">
        <v>1226</v>
      </c>
      <c r="D1201" s="5" t="s">
        <v>396</v>
      </c>
      <c r="E1201" s="5" t="s">
        <v>397</v>
      </c>
      <c r="F1201" s="5" t="s">
        <v>30</v>
      </c>
      <c r="G1201" s="6">
        <v>30240</v>
      </c>
      <c r="H1201" s="1194" t="str">
        <f>HYPERLINK("https://adv-map.ru/place/?LINK=603ada5fce59ceba037ecfed50147dce","Ссылка")</f>
        <v>Ссылка</v>
      </c>
      <c r="I1201" s="5" t="s">
        <v>1227</v>
      </c>
    </row>
    <row r="1202" spans="1:9" s="4" customFormat="1" ht="38.1" customHeight="1" outlineLevel="1" x14ac:dyDescent="0.2">
      <c r="A1202" s="5" t="s">
        <v>340</v>
      </c>
      <c r="B1202" s="5" t="s">
        <v>365</v>
      </c>
      <c r="C1202" s="5" t="s">
        <v>1226</v>
      </c>
      <c r="D1202" s="5" t="s">
        <v>396</v>
      </c>
      <c r="E1202" s="5" t="s">
        <v>397</v>
      </c>
      <c r="F1202" s="5" t="s">
        <v>31</v>
      </c>
      <c r="G1202" s="6">
        <v>25200</v>
      </c>
      <c r="H1202" s="1195" t="str">
        <f>HYPERLINK("https://adv-map.ru/place/?LINK=1ce0df265914982f482b18ca4849c5d2","Ссылка")</f>
        <v>Ссылка</v>
      </c>
      <c r="I1202" s="5" t="s">
        <v>1227</v>
      </c>
    </row>
    <row r="1203" spans="1:9" s="4" customFormat="1" ht="38.1" customHeight="1" outlineLevel="1" x14ac:dyDescent="0.2">
      <c r="A1203" s="5" t="s">
        <v>340</v>
      </c>
      <c r="B1203" s="5" t="s">
        <v>365</v>
      </c>
      <c r="C1203" s="5" t="s">
        <v>1228</v>
      </c>
      <c r="D1203" s="5" t="s">
        <v>347</v>
      </c>
      <c r="E1203" s="5" t="s">
        <v>348</v>
      </c>
      <c r="F1203" s="5" t="s">
        <v>14</v>
      </c>
      <c r="G1203" s="6">
        <v>25200</v>
      </c>
      <c r="H1203" s="1196" t="str">
        <f>HYPERLINK("https://adv-map.ru/place/?LINK=d84729cbb480289a48c355cb10776f9b","Ссылка")</f>
        <v>Ссылка</v>
      </c>
      <c r="I1203" s="5" t="s">
        <v>1229</v>
      </c>
    </row>
    <row r="1204" spans="1:9" s="4" customFormat="1" ht="38.1" customHeight="1" outlineLevel="1" x14ac:dyDescent="0.2">
      <c r="A1204" s="5" t="s">
        <v>340</v>
      </c>
      <c r="B1204" s="5" t="s">
        <v>365</v>
      </c>
      <c r="C1204" s="5" t="s">
        <v>1228</v>
      </c>
      <c r="D1204" s="5" t="s">
        <v>347</v>
      </c>
      <c r="E1204" s="5" t="s">
        <v>348</v>
      </c>
      <c r="F1204" s="5" t="s">
        <v>16</v>
      </c>
      <c r="G1204" s="6">
        <v>22680</v>
      </c>
      <c r="H1204" s="1197" t="str">
        <f>HYPERLINK("https://adv-map.ru/place/?LINK=eea2b8a98854a8cfb74ef501f01d898c","Ссылка")</f>
        <v>Ссылка</v>
      </c>
      <c r="I1204" s="5" t="s">
        <v>1229</v>
      </c>
    </row>
    <row r="1205" spans="1:9" s="4" customFormat="1" ht="38.1" customHeight="1" outlineLevel="1" x14ac:dyDescent="0.2">
      <c r="A1205" s="5" t="s">
        <v>340</v>
      </c>
      <c r="B1205" s="5" t="s">
        <v>365</v>
      </c>
      <c r="C1205" s="5" t="s">
        <v>1230</v>
      </c>
      <c r="D1205" s="5" t="s">
        <v>347</v>
      </c>
      <c r="E1205" s="5" t="s">
        <v>348</v>
      </c>
      <c r="F1205" s="5" t="s">
        <v>14</v>
      </c>
      <c r="G1205" s="6">
        <v>25200</v>
      </c>
      <c r="H1205" s="1198" t="str">
        <f>HYPERLINK("https://adv-map.ru/place/?LINK=5bd5c720c9a8b9117fd85eb8452bb346","Ссылка")</f>
        <v>Ссылка</v>
      </c>
      <c r="I1205" s="5" t="s">
        <v>1231</v>
      </c>
    </row>
    <row r="1206" spans="1:9" s="4" customFormat="1" ht="38.1" customHeight="1" outlineLevel="1" x14ac:dyDescent="0.2">
      <c r="A1206" s="5" t="s">
        <v>340</v>
      </c>
      <c r="B1206" s="5" t="s">
        <v>365</v>
      </c>
      <c r="C1206" s="5" t="s">
        <v>1230</v>
      </c>
      <c r="D1206" s="5" t="s">
        <v>347</v>
      </c>
      <c r="E1206" s="5" t="s">
        <v>348</v>
      </c>
      <c r="F1206" s="5" t="s">
        <v>16</v>
      </c>
      <c r="G1206" s="6">
        <v>22680</v>
      </c>
      <c r="H1206" s="1199" t="str">
        <f>HYPERLINK("https://adv-map.ru/place/?LINK=aaf7d1469bdb9f4266459726b3adfc95","Ссылка")</f>
        <v>Ссылка</v>
      </c>
      <c r="I1206" s="5" t="s">
        <v>1232</v>
      </c>
    </row>
    <row r="1207" spans="1:9" s="4" customFormat="1" ht="38.1" customHeight="1" outlineLevel="1" x14ac:dyDescent="0.2">
      <c r="A1207" s="5" t="s">
        <v>340</v>
      </c>
      <c r="B1207" s="5" t="s">
        <v>365</v>
      </c>
      <c r="C1207" s="5" t="s">
        <v>1233</v>
      </c>
      <c r="D1207" s="5" t="s">
        <v>396</v>
      </c>
      <c r="E1207" s="5" t="s">
        <v>397</v>
      </c>
      <c r="F1207" s="5" t="s">
        <v>28</v>
      </c>
      <c r="G1207" s="6">
        <v>35280</v>
      </c>
      <c r="H1207" s="1200" t="str">
        <f>HYPERLINK("https://adv-map.ru/place/?LINK=942ebaf1df63c9e30f6f8f68ede6c75e","Ссылка")</f>
        <v>Ссылка</v>
      </c>
      <c r="I1207" s="5" t="s">
        <v>1234</v>
      </c>
    </row>
    <row r="1208" spans="1:9" s="4" customFormat="1" ht="38.1" customHeight="1" outlineLevel="1" x14ac:dyDescent="0.2">
      <c r="A1208" s="5" t="s">
        <v>340</v>
      </c>
      <c r="B1208" s="5" t="s">
        <v>365</v>
      </c>
      <c r="C1208" s="5" t="s">
        <v>1233</v>
      </c>
      <c r="D1208" s="5" t="s">
        <v>396</v>
      </c>
      <c r="E1208" s="5" t="s">
        <v>397</v>
      </c>
      <c r="F1208" s="5" t="s">
        <v>30</v>
      </c>
      <c r="G1208" s="6">
        <v>30240</v>
      </c>
      <c r="H1208" s="1201" t="str">
        <f>HYPERLINK("https://adv-map.ru/place/?LINK=81b8196b60a167199d8a146828c6cb8a","Ссылка")</f>
        <v>Ссылка</v>
      </c>
      <c r="I1208" s="5" t="s">
        <v>1234</v>
      </c>
    </row>
    <row r="1209" spans="1:9" s="4" customFormat="1" ht="38.1" customHeight="1" outlineLevel="1" x14ac:dyDescent="0.2">
      <c r="A1209" s="5" t="s">
        <v>340</v>
      </c>
      <c r="B1209" s="5" t="s">
        <v>365</v>
      </c>
      <c r="C1209" s="5" t="s">
        <v>1233</v>
      </c>
      <c r="D1209" s="5" t="s">
        <v>396</v>
      </c>
      <c r="E1209" s="5" t="s">
        <v>397</v>
      </c>
      <c r="F1209" s="5" t="s">
        <v>31</v>
      </c>
      <c r="G1209" s="6">
        <v>25200</v>
      </c>
      <c r="H1209" s="1202" t="str">
        <f>HYPERLINK("https://adv-map.ru/place/?LINK=737e315a7d68f9639444d781c87a3768","Ссылка")</f>
        <v>Ссылка</v>
      </c>
      <c r="I1209" s="5" t="s">
        <v>1234</v>
      </c>
    </row>
    <row r="1210" spans="1:9" s="4" customFormat="1" ht="38.1" customHeight="1" outlineLevel="1" x14ac:dyDescent="0.2">
      <c r="A1210" s="5" t="s">
        <v>340</v>
      </c>
      <c r="B1210" s="5" t="s">
        <v>365</v>
      </c>
      <c r="C1210" s="5" t="s">
        <v>1235</v>
      </c>
      <c r="D1210" s="5" t="s">
        <v>347</v>
      </c>
      <c r="E1210" s="5" t="s">
        <v>348</v>
      </c>
      <c r="F1210" s="5" t="s">
        <v>14</v>
      </c>
      <c r="G1210" s="6">
        <v>25200</v>
      </c>
      <c r="H1210" s="1203" t="str">
        <f>HYPERLINK("https://adv-map.ru/place/?LINK=25b38f7c1e80a99ede08e0d311fe3e0d","Ссылка")</f>
        <v>Ссылка</v>
      </c>
      <c r="I1210" s="5" t="s">
        <v>1236</v>
      </c>
    </row>
    <row r="1211" spans="1:9" s="4" customFormat="1" ht="38.1" customHeight="1" outlineLevel="1" x14ac:dyDescent="0.2">
      <c r="A1211" s="5" t="s">
        <v>340</v>
      </c>
      <c r="B1211" s="5" t="s">
        <v>365</v>
      </c>
      <c r="C1211" s="5" t="s">
        <v>1235</v>
      </c>
      <c r="D1211" s="5" t="s">
        <v>347</v>
      </c>
      <c r="E1211" s="5" t="s">
        <v>348</v>
      </c>
      <c r="F1211" s="5" t="s">
        <v>16</v>
      </c>
      <c r="G1211" s="6">
        <v>22680</v>
      </c>
      <c r="H1211" s="1204" t="str">
        <f>HYPERLINK("https://adv-map.ru/place/?LINK=6a0a49d7641335a4f33d6ef9db069b61","Ссылка")</f>
        <v>Ссылка</v>
      </c>
      <c r="I1211" s="5" t="s">
        <v>1237</v>
      </c>
    </row>
    <row r="1212" spans="1:9" s="4" customFormat="1" ht="38.1" customHeight="1" outlineLevel="1" x14ac:dyDescent="0.2">
      <c r="A1212" s="5" t="s">
        <v>340</v>
      </c>
      <c r="B1212" s="5" t="s">
        <v>365</v>
      </c>
      <c r="C1212" s="5" t="s">
        <v>1238</v>
      </c>
      <c r="D1212" s="5" t="s">
        <v>347</v>
      </c>
      <c r="E1212" s="5" t="s">
        <v>348</v>
      </c>
      <c r="F1212" s="5" t="s">
        <v>14</v>
      </c>
      <c r="G1212" s="6">
        <v>25200</v>
      </c>
      <c r="H1212" s="1205" t="str">
        <f>HYPERLINK("https://adv-map.ru/place/?LINK=8f2d3b9b9b5bbc0bde6b780c9ca72a32","Ссылка")</f>
        <v>Ссылка</v>
      </c>
      <c r="I1212" s="5" t="s">
        <v>1239</v>
      </c>
    </row>
    <row r="1213" spans="1:9" s="4" customFormat="1" ht="51" customHeight="1" outlineLevel="1" x14ac:dyDescent="0.2">
      <c r="A1213" s="5" t="s">
        <v>340</v>
      </c>
      <c r="B1213" s="5" t="s">
        <v>365</v>
      </c>
      <c r="C1213" s="5" t="s">
        <v>1238</v>
      </c>
      <c r="D1213" s="5" t="s">
        <v>347</v>
      </c>
      <c r="E1213" s="5" t="s">
        <v>348</v>
      </c>
      <c r="F1213" s="5" t="s">
        <v>16</v>
      </c>
      <c r="G1213" s="6">
        <v>22680</v>
      </c>
      <c r="H1213" s="1206" t="str">
        <f>HYPERLINK("https://adv-map.ru/place/?LINK=6625421f249a79e900d12d74892d3927","Ссылка")</f>
        <v>Ссылка</v>
      </c>
      <c r="I1213" s="5" t="s">
        <v>1239</v>
      </c>
    </row>
    <row r="1214" spans="1:9" s="4" customFormat="1" ht="38.1" customHeight="1" outlineLevel="1" x14ac:dyDescent="0.2">
      <c r="A1214" s="5" t="s">
        <v>340</v>
      </c>
      <c r="B1214" s="5" t="s">
        <v>341</v>
      </c>
      <c r="C1214" s="5" t="s">
        <v>1240</v>
      </c>
      <c r="D1214" s="5" t="s">
        <v>347</v>
      </c>
      <c r="E1214" s="5" t="s">
        <v>348</v>
      </c>
      <c r="F1214" s="5" t="s">
        <v>14</v>
      </c>
      <c r="G1214" s="6">
        <v>25200</v>
      </c>
      <c r="H1214" s="1207" t="str">
        <f>HYPERLINK("https://adv-map.ru/place/?LINK=1cca4f11e33fcc0df02f32e3a2a3b152","Ссылка")</f>
        <v>Ссылка</v>
      </c>
      <c r="I1214" s="5" t="s">
        <v>1241</v>
      </c>
    </row>
    <row r="1215" spans="1:9" s="4" customFormat="1" ht="38.1" customHeight="1" outlineLevel="1" x14ac:dyDescent="0.2">
      <c r="A1215" s="5" t="s">
        <v>340</v>
      </c>
      <c r="B1215" s="5" t="s">
        <v>341</v>
      </c>
      <c r="C1215" s="5" t="s">
        <v>1240</v>
      </c>
      <c r="D1215" s="5" t="s">
        <v>347</v>
      </c>
      <c r="E1215" s="5" t="s">
        <v>348</v>
      </c>
      <c r="F1215" s="5" t="s">
        <v>16</v>
      </c>
      <c r="G1215" s="6">
        <v>22680</v>
      </c>
      <c r="H1215" s="1208" t="str">
        <f>HYPERLINK("https://adv-map.ru/place/?LINK=131fbee291273941245640b598dacf7c","Ссылка")</f>
        <v>Ссылка</v>
      </c>
      <c r="I1215" s="5" t="s">
        <v>1241</v>
      </c>
    </row>
    <row r="1216" spans="1:9" s="4" customFormat="1" ht="38.1" customHeight="1" outlineLevel="1" x14ac:dyDescent="0.2">
      <c r="A1216" s="5" t="s">
        <v>340</v>
      </c>
      <c r="B1216" s="5" t="s">
        <v>365</v>
      </c>
      <c r="C1216" s="5" t="s">
        <v>1242</v>
      </c>
      <c r="D1216" s="5" t="s">
        <v>396</v>
      </c>
      <c r="E1216" s="5" t="s">
        <v>397</v>
      </c>
      <c r="F1216" s="5" t="s">
        <v>28</v>
      </c>
      <c r="G1216" s="6">
        <v>35280</v>
      </c>
      <c r="H1216" s="1209" t="str">
        <f>HYPERLINK("https://adv-map.ru/place/?LINK=bd41f4ced8bf257863932b721f6e09dc","Ссылка")</f>
        <v>Ссылка</v>
      </c>
      <c r="I1216" s="5" t="s">
        <v>1243</v>
      </c>
    </row>
    <row r="1217" spans="1:9" s="4" customFormat="1" ht="38.1" customHeight="1" outlineLevel="1" x14ac:dyDescent="0.2">
      <c r="A1217" s="5" t="s">
        <v>340</v>
      </c>
      <c r="B1217" s="5" t="s">
        <v>365</v>
      </c>
      <c r="C1217" s="5" t="s">
        <v>1242</v>
      </c>
      <c r="D1217" s="5" t="s">
        <v>396</v>
      </c>
      <c r="E1217" s="5" t="s">
        <v>397</v>
      </c>
      <c r="F1217" s="5" t="s">
        <v>30</v>
      </c>
      <c r="G1217" s="6">
        <v>30240</v>
      </c>
      <c r="H1217" s="1210" t="str">
        <f>HYPERLINK("https://adv-map.ru/place/?LINK=4568d9ee3ca5cd4f7b1cc821fef68368","Ссылка")</f>
        <v>Ссылка</v>
      </c>
      <c r="I1217" s="5" t="s">
        <v>1243</v>
      </c>
    </row>
    <row r="1218" spans="1:9" s="4" customFormat="1" ht="38.1" customHeight="1" outlineLevel="1" x14ac:dyDescent="0.2">
      <c r="A1218" s="5" t="s">
        <v>340</v>
      </c>
      <c r="B1218" s="5" t="s">
        <v>365</v>
      </c>
      <c r="C1218" s="5" t="s">
        <v>1242</v>
      </c>
      <c r="D1218" s="5" t="s">
        <v>396</v>
      </c>
      <c r="E1218" s="5" t="s">
        <v>397</v>
      </c>
      <c r="F1218" s="5" t="s">
        <v>31</v>
      </c>
      <c r="G1218" s="6">
        <v>25200</v>
      </c>
      <c r="H1218" s="1211" t="str">
        <f>HYPERLINK("https://adv-map.ru/place/?LINK=0c932f493608156d5d08934bcbd8bd80","Ссылка")</f>
        <v>Ссылка</v>
      </c>
      <c r="I1218" s="5" t="s">
        <v>1243</v>
      </c>
    </row>
    <row r="1219" spans="1:9" s="4" customFormat="1" ht="38.1" customHeight="1" outlineLevel="1" x14ac:dyDescent="0.2">
      <c r="A1219" s="5" t="s">
        <v>340</v>
      </c>
      <c r="B1219" s="5" t="s">
        <v>341</v>
      </c>
      <c r="C1219" s="5" t="s">
        <v>1244</v>
      </c>
      <c r="D1219" s="5" t="s">
        <v>347</v>
      </c>
      <c r="E1219" s="5" t="s">
        <v>348</v>
      </c>
      <c r="F1219" s="5" t="s">
        <v>14</v>
      </c>
      <c r="G1219" s="6">
        <v>25200</v>
      </c>
      <c r="H1219" s="1212" t="str">
        <f>HYPERLINK("https://adv-map.ru/place/?LINK=02c5e9aebbcbf191c55f2ee13a1ee86e","Ссылка")</f>
        <v>Ссылка</v>
      </c>
      <c r="I1219" s="5" t="s">
        <v>1245</v>
      </c>
    </row>
    <row r="1220" spans="1:9" s="4" customFormat="1" ht="38.1" customHeight="1" outlineLevel="1" x14ac:dyDescent="0.2">
      <c r="A1220" s="5" t="s">
        <v>340</v>
      </c>
      <c r="B1220" s="5" t="s">
        <v>341</v>
      </c>
      <c r="C1220" s="5" t="s">
        <v>1244</v>
      </c>
      <c r="D1220" s="5" t="s">
        <v>347</v>
      </c>
      <c r="E1220" s="5" t="s">
        <v>348</v>
      </c>
      <c r="F1220" s="5" t="s">
        <v>16</v>
      </c>
      <c r="G1220" s="6">
        <v>22680</v>
      </c>
      <c r="H1220" s="1213" t="str">
        <f>HYPERLINK("https://adv-map.ru/place/?LINK=1dcdb406418a87d09bc57b6278bfff6d","Ссылка")</f>
        <v>Ссылка</v>
      </c>
      <c r="I1220" s="5" t="s">
        <v>1245</v>
      </c>
    </row>
    <row r="1221" spans="1:9" s="4" customFormat="1" ht="38.1" customHeight="1" outlineLevel="1" x14ac:dyDescent="0.2">
      <c r="A1221" s="5" t="s">
        <v>340</v>
      </c>
      <c r="B1221" s="5" t="s">
        <v>341</v>
      </c>
      <c r="C1221" s="5" t="s">
        <v>1246</v>
      </c>
      <c r="D1221" s="5" t="s">
        <v>347</v>
      </c>
      <c r="E1221" s="5" t="s">
        <v>348</v>
      </c>
      <c r="F1221" s="5" t="s">
        <v>14</v>
      </c>
      <c r="G1221" s="6">
        <v>25200</v>
      </c>
      <c r="H1221" s="1214" t="str">
        <f>HYPERLINK("https://adv-map.ru/place/?LINK=fd6c18cf4fbb0a8f396b92ba93eb1483","Ссылка")</f>
        <v>Ссылка</v>
      </c>
      <c r="I1221" s="5" t="s">
        <v>1247</v>
      </c>
    </row>
    <row r="1222" spans="1:9" s="4" customFormat="1" ht="38.1" customHeight="1" outlineLevel="1" x14ac:dyDescent="0.2">
      <c r="A1222" s="5" t="s">
        <v>340</v>
      </c>
      <c r="B1222" s="5" t="s">
        <v>341</v>
      </c>
      <c r="C1222" s="5" t="s">
        <v>1246</v>
      </c>
      <c r="D1222" s="5" t="s">
        <v>347</v>
      </c>
      <c r="E1222" s="5" t="s">
        <v>348</v>
      </c>
      <c r="F1222" s="5" t="s">
        <v>16</v>
      </c>
      <c r="G1222" s="6">
        <v>22680</v>
      </c>
      <c r="H1222" s="1215" t="str">
        <f>HYPERLINK("https://adv-map.ru/place/?LINK=d2f9e4c00c2420130208947da7a07d94","Ссылка")</f>
        <v>Ссылка</v>
      </c>
      <c r="I1222" s="5" t="s">
        <v>1248</v>
      </c>
    </row>
    <row r="1223" spans="1:9" s="4" customFormat="1" ht="38.1" customHeight="1" outlineLevel="1" x14ac:dyDescent="0.2">
      <c r="A1223" s="5" t="s">
        <v>340</v>
      </c>
      <c r="B1223" s="5" t="s">
        <v>341</v>
      </c>
      <c r="C1223" s="5" t="s">
        <v>1249</v>
      </c>
      <c r="D1223" s="5" t="s">
        <v>347</v>
      </c>
      <c r="E1223" s="5" t="s">
        <v>348</v>
      </c>
      <c r="F1223" s="5" t="s">
        <v>14</v>
      </c>
      <c r="G1223" s="6">
        <v>25200</v>
      </c>
      <c r="H1223" s="1216" t="str">
        <f>HYPERLINK("https://adv-map.ru/place/?LINK=b6e93455c4d42aa78dcb24c16b397a6c","Ссылка")</f>
        <v>Ссылка</v>
      </c>
      <c r="I1223" s="5" t="s">
        <v>1250</v>
      </c>
    </row>
    <row r="1224" spans="1:9" s="4" customFormat="1" ht="38.1" customHeight="1" outlineLevel="1" x14ac:dyDescent="0.2">
      <c r="A1224" s="5" t="s">
        <v>340</v>
      </c>
      <c r="B1224" s="5" t="s">
        <v>341</v>
      </c>
      <c r="C1224" s="5" t="s">
        <v>1249</v>
      </c>
      <c r="D1224" s="5" t="s">
        <v>347</v>
      </c>
      <c r="E1224" s="5" t="s">
        <v>348</v>
      </c>
      <c r="F1224" s="5" t="s">
        <v>16</v>
      </c>
      <c r="G1224" s="6">
        <v>22680</v>
      </c>
      <c r="H1224" s="1217" t="str">
        <f>HYPERLINK("https://adv-map.ru/place/?LINK=bd5d4f2225653cb19079133c52060a71","Ссылка")</f>
        <v>Ссылка</v>
      </c>
      <c r="I1224" s="5" t="s">
        <v>1251</v>
      </c>
    </row>
    <row r="1225" spans="1:9" s="4" customFormat="1" ht="38.1" customHeight="1" outlineLevel="1" x14ac:dyDescent="0.2">
      <c r="A1225" s="5" t="s">
        <v>340</v>
      </c>
      <c r="B1225" s="5" t="s">
        <v>341</v>
      </c>
      <c r="C1225" s="5" t="s">
        <v>1252</v>
      </c>
      <c r="D1225" s="5" t="s">
        <v>347</v>
      </c>
      <c r="E1225" s="5" t="s">
        <v>348</v>
      </c>
      <c r="F1225" s="5" t="s">
        <v>14</v>
      </c>
      <c r="G1225" s="6">
        <v>25200</v>
      </c>
      <c r="H1225" s="1218" t="str">
        <f>HYPERLINK("https://adv-map.ru/place/?LINK=fbf12b7aff7ea5a4d2f089f7c7c763cd","Ссылка")</f>
        <v>Ссылка</v>
      </c>
      <c r="I1225" s="5" t="s">
        <v>1253</v>
      </c>
    </row>
    <row r="1226" spans="1:9" s="4" customFormat="1" ht="38.1" customHeight="1" outlineLevel="1" x14ac:dyDescent="0.2">
      <c r="A1226" s="5" t="s">
        <v>340</v>
      </c>
      <c r="B1226" s="5" t="s">
        <v>341</v>
      </c>
      <c r="C1226" s="5" t="s">
        <v>1252</v>
      </c>
      <c r="D1226" s="5" t="s">
        <v>347</v>
      </c>
      <c r="E1226" s="5" t="s">
        <v>348</v>
      </c>
      <c r="F1226" s="5" t="s">
        <v>16</v>
      </c>
      <c r="G1226" s="6">
        <v>22680</v>
      </c>
      <c r="H1226" s="1219" t="str">
        <f>HYPERLINK("https://adv-map.ru/place/?LINK=f409680b68cac564bccce83e2fe31edf","Ссылка")</f>
        <v>Ссылка</v>
      </c>
      <c r="I1226" s="5" t="s">
        <v>1254</v>
      </c>
    </row>
    <row r="1227" spans="1:9" s="4" customFormat="1" ht="38.1" customHeight="1" outlineLevel="1" x14ac:dyDescent="0.2">
      <c r="A1227" s="5" t="s">
        <v>340</v>
      </c>
      <c r="B1227" s="5" t="s">
        <v>341</v>
      </c>
      <c r="C1227" s="5" t="s">
        <v>1255</v>
      </c>
      <c r="D1227" s="5" t="s">
        <v>347</v>
      </c>
      <c r="E1227" s="5" t="s">
        <v>348</v>
      </c>
      <c r="F1227" s="5" t="s">
        <v>14</v>
      </c>
      <c r="G1227" s="6">
        <v>25200</v>
      </c>
      <c r="H1227" s="1220" t="str">
        <f>HYPERLINK("https://adv-map.ru/place/?LINK=3d87b42127987d77e13d593f7b2b278b","Ссылка")</f>
        <v>Ссылка</v>
      </c>
      <c r="I1227" s="5" t="s">
        <v>1256</v>
      </c>
    </row>
    <row r="1228" spans="1:9" s="4" customFormat="1" ht="38.1" customHeight="1" outlineLevel="1" x14ac:dyDescent="0.2">
      <c r="A1228" s="5" t="s">
        <v>340</v>
      </c>
      <c r="B1228" s="5" t="s">
        <v>341</v>
      </c>
      <c r="C1228" s="5" t="s">
        <v>1255</v>
      </c>
      <c r="D1228" s="5" t="s">
        <v>347</v>
      </c>
      <c r="E1228" s="5" t="s">
        <v>348</v>
      </c>
      <c r="F1228" s="5" t="s">
        <v>16</v>
      </c>
      <c r="G1228" s="6">
        <v>22680</v>
      </c>
      <c r="H1228" s="1221" t="str">
        <f>HYPERLINK("https://adv-map.ru/place/?LINK=9b6e7861d7748af70864102533183f74","Ссылка")</f>
        <v>Ссылка</v>
      </c>
      <c r="I1228" s="5" t="s">
        <v>1257</v>
      </c>
    </row>
    <row r="1229" spans="1:9" s="4" customFormat="1" ht="38.1" customHeight="1" outlineLevel="1" x14ac:dyDescent="0.2">
      <c r="A1229" s="5" t="s">
        <v>340</v>
      </c>
      <c r="B1229" s="5" t="s">
        <v>341</v>
      </c>
      <c r="C1229" s="5" t="s">
        <v>1258</v>
      </c>
      <c r="D1229" s="5" t="s">
        <v>347</v>
      </c>
      <c r="E1229" s="5" t="s">
        <v>348</v>
      </c>
      <c r="F1229" s="5" t="s">
        <v>14</v>
      </c>
      <c r="G1229" s="6">
        <v>25200</v>
      </c>
      <c r="H1229" s="1222" t="str">
        <f>HYPERLINK("https://adv-map.ru/place/?LINK=c5e11cc85a9b6ff5e4e8da4764cb5359","Ссылка")</f>
        <v>Ссылка</v>
      </c>
      <c r="I1229" s="5" t="s">
        <v>1259</v>
      </c>
    </row>
    <row r="1230" spans="1:9" s="4" customFormat="1" ht="38.1" customHeight="1" outlineLevel="1" x14ac:dyDescent="0.2">
      <c r="A1230" s="5" t="s">
        <v>340</v>
      </c>
      <c r="B1230" s="5" t="s">
        <v>341</v>
      </c>
      <c r="C1230" s="5" t="s">
        <v>1258</v>
      </c>
      <c r="D1230" s="5" t="s">
        <v>347</v>
      </c>
      <c r="E1230" s="5" t="s">
        <v>348</v>
      </c>
      <c r="F1230" s="5" t="s">
        <v>16</v>
      </c>
      <c r="G1230" s="6">
        <v>22680</v>
      </c>
      <c r="H1230" s="1223" t="str">
        <f>HYPERLINK("https://adv-map.ru/place/?LINK=d4b8398719fdf63a939f5b3144d75b43","Ссылка")</f>
        <v>Ссылка</v>
      </c>
      <c r="I1230" s="5" t="s">
        <v>1259</v>
      </c>
    </row>
    <row r="1231" spans="1:9" s="4" customFormat="1" ht="38.1" customHeight="1" outlineLevel="1" x14ac:dyDescent="0.2">
      <c r="A1231" s="5" t="s">
        <v>340</v>
      </c>
      <c r="B1231" s="5" t="s">
        <v>365</v>
      </c>
      <c r="C1231" s="5" t="s">
        <v>1260</v>
      </c>
      <c r="D1231" s="5" t="s">
        <v>396</v>
      </c>
      <c r="E1231" s="5" t="s">
        <v>397</v>
      </c>
      <c r="F1231" s="5" t="s">
        <v>28</v>
      </c>
      <c r="G1231" s="6">
        <v>25200</v>
      </c>
      <c r="H1231" s="1224" t="str">
        <f>HYPERLINK("https://adv-map.ru/place/?LINK=a53b0b01b7313c7eb028c7bd02eeaff1","Ссылка")</f>
        <v>Ссылка</v>
      </c>
      <c r="I1231" s="5" t="s">
        <v>1261</v>
      </c>
    </row>
    <row r="1232" spans="1:9" s="4" customFormat="1" ht="38.1" customHeight="1" outlineLevel="1" x14ac:dyDescent="0.2">
      <c r="A1232" s="5" t="s">
        <v>340</v>
      </c>
      <c r="B1232" s="5" t="s">
        <v>365</v>
      </c>
      <c r="C1232" s="5" t="s">
        <v>1260</v>
      </c>
      <c r="D1232" s="5" t="s">
        <v>396</v>
      </c>
      <c r="E1232" s="5" t="s">
        <v>397</v>
      </c>
      <c r="F1232" s="5" t="s">
        <v>30</v>
      </c>
      <c r="G1232" s="6">
        <v>20160</v>
      </c>
      <c r="H1232" s="1225" t="str">
        <f>HYPERLINK("https://adv-map.ru/place/?LINK=c9a9f3c9b49ba5af0beb8988e4cb461b","Ссылка")</f>
        <v>Ссылка</v>
      </c>
      <c r="I1232" s="5" t="s">
        <v>1261</v>
      </c>
    </row>
    <row r="1233" spans="1:9" s="4" customFormat="1" ht="38.1" customHeight="1" outlineLevel="1" x14ac:dyDescent="0.2">
      <c r="A1233" s="5" t="s">
        <v>340</v>
      </c>
      <c r="B1233" s="5" t="s">
        <v>365</v>
      </c>
      <c r="C1233" s="5" t="s">
        <v>1260</v>
      </c>
      <c r="D1233" s="5" t="s">
        <v>396</v>
      </c>
      <c r="E1233" s="5" t="s">
        <v>397</v>
      </c>
      <c r="F1233" s="5" t="s">
        <v>31</v>
      </c>
      <c r="G1233" s="6">
        <v>15120</v>
      </c>
      <c r="H1233" s="1226" t="str">
        <f>HYPERLINK("https://adv-map.ru/place/?LINK=ea40271efcdf27f07f2065b855e40e29","Ссылка")</f>
        <v>Ссылка</v>
      </c>
      <c r="I1233" s="5" t="s">
        <v>1261</v>
      </c>
    </row>
    <row r="1234" spans="1:9" s="4" customFormat="1" ht="38.1" customHeight="1" outlineLevel="1" x14ac:dyDescent="0.2">
      <c r="A1234" s="5" t="s">
        <v>340</v>
      </c>
      <c r="B1234" s="5" t="s">
        <v>341</v>
      </c>
      <c r="C1234" s="5" t="s">
        <v>1262</v>
      </c>
      <c r="D1234" s="5" t="s">
        <v>405</v>
      </c>
      <c r="E1234" s="5" t="s">
        <v>348</v>
      </c>
      <c r="F1234" s="5" t="s">
        <v>14</v>
      </c>
      <c r="G1234" s="6">
        <v>25200</v>
      </c>
      <c r="H1234" s="1227" t="str">
        <f>HYPERLINK("https://adv-map.ru/place/?LINK=659afbcc09d09e61fdb2ea51c5fbec13","Ссылка")</f>
        <v>Ссылка</v>
      </c>
      <c r="I1234" s="5" t="s">
        <v>1263</v>
      </c>
    </row>
    <row r="1235" spans="1:9" s="4" customFormat="1" ht="38.1" customHeight="1" outlineLevel="1" x14ac:dyDescent="0.2">
      <c r="A1235" s="5" t="s">
        <v>340</v>
      </c>
      <c r="B1235" s="5" t="s">
        <v>341</v>
      </c>
      <c r="C1235" s="5" t="s">
        <v>1262</v>
      </c>
      <c r="D1235" s="5" t="s">
        <v>405</v>
      </c>
      <c r="E1235" s="5" t="s">
        <v>348</v>
      </c>
      <c r="F1235" s="5" t="s">
        <v>16</v>
      </c>
      <c r="G1235" s="6">
        <v>22680</v>
      </c>
      <c r="H1235" s="1228" t="str">
        <f>HYPERLINK("https://adv-map.ru/place/?LINK=d8f1c70d09b9348b31ce038c336e6129","Ссылка")</f>
        <v>Ссылка</v>
      </c>
      <c r="I1235" s="5" t="s">
        <v>1263</v>
      </c>
    </row>
    <row r="1236" spans="1:9" s="4" customFormat="1" ht="38.1" customHeight="1" outlineLevel="1" x14ac:dyDescent="0.2">
      <c r="A1236" s="5" t="s">
        <v>340</v>
      </c>
      <c r="B1236" s="5" t="s">
        <v>546</v>
      </c>
      <c r="C1236" s="5" t="s">
        <v>1264</v>
      </c>
      <c r="D1236" s="5" t="s">
        <v>347</v>
      </c>
      <c r="E1236" s="5" t="s">
        <v>348</v>
      </c>
      <c r="F1236" s="5" t="s">
        <v>14</v>
      </c>
      <c r="G1236" s="6">
        <v>25200</v>
      </c>
      <c r="H1236" s="1229" t="str">
        <f>HYPERLINK("https://adv-map.ru/place/?LINK=e73501feeb8346dc485673a76c4da4a8","Ссылка")</f>
        <v>Ссылка</v>
      </c>
      <c r="I1236" s="5" t="s">
        <v>1265</v>
      </c>
    </row>
    <row r="1237" spans="1:9" s="4" customFormat="1" ht="38.1" customHeight="1" outlineLevel="1" x14ac:dyDescent="0.2">
      <c r="A1237" s="5" t="s">
        <v>340</v>
      </c>
      <c r="B1237" s="5" t="s">
        <v>546</v>
      </c>
      <c r="C1237" s="5" t="s">
        <v>1264</v>
      </c>
      <c r="D1237" s="5" t="s">
        <v>347</v>
      </c>
      <c r="E1237" s="5" t="s">
        <v>348</v>
      </c>
      <c r="F1237" s="5" t="s">
        <v>16</v>
      </c>
      <c r="G1237" s="6">
        <v>22680</v>
      </c>
      <c r="H1237" s="1230" t="str">
        <f>HYPERLINK("https://adv-map.ru/place/?LINK=466074dde30004d5f75cd0b1e900b375","Ссылка")</f>
        <v>Ссылка</v>
      </c>
      <c r="I1237" s="5" t="s">
        <v>1266</v>
      </c>
    </row>
    <row r="1238" spans="1:9" s="4" customFormat="1" ht="38.1" customHeight="1" outlineLevel="1" x14ac:dyDescent="0.2">
      <c r="A1238" s="5" t="s">
        <v>340</v>
      </c>
      <c r="B1238" s="5" t="s">
        <v>546</v>
      </c>
      <c r="C1238" s="5" t="s">
        <v>1267</v>
      </c>
      <c r="D1238" s="5" t="s">
        <v>405</v>
      </c>
      <c r="E1238" s="5" t="s">
        <v>348</v>
      </c>
      <c r="F1238" s="5" t="s">
        <v>14</v>
      </c>
      <c r="G1238" s="6">
        <v>25200</v>
      </c>
      <c r="H1238" s="1231" t="str">
        <f>HYPERLINK("https://adv-map.ru/place/?LINK=295f6bb05c00a3df2e352ef1122d104f","Ссылка")</f>
        <v>Ссылка</v>
      </c>
      <c r="I1238" s="5" t="s">
        <v>1268</v>
      </c>
    </row>
    <row r="1239" spans="1:9" s="4" customFormat="1" ht="38.1" customHeight="1" outlineLevel="1" x14ac:dyDescent="0.2">
      <c r="A1239" s="5" t="s">
        <v>340</v>
      </c>
      <c r="B1239" s="5" t="s">
        <v>546</v>
      </c>
      <c r="C1239" s="5" t="s">
        <v>1267</v>
      </c>
      <c r="D1239" s="5" t="s">
        <v>405</v>
      </c>
      <c r="E1239" s="5" t="s">
        <v>348</v>
      </c>
      <c r="F1239" s="5" t="s">
        <v>16</v>
      </c>
      <c r="G1239" s="6">
        <v>22680</v>
      </c>
      <c r="H1239" s="1232" t="str">
        <f>HYPERLINK("https://adv-map.ru/place/?LINK=818f5060e6b7c3a0ec88f817b57afa49","Ссылка")</f>
        <v>Ссылка</v>
      </c>
      <c r="I1239" s="5" t="s">
        <v>1268</v>
      </c>
    </row>
    <row r="1240" spans="1:9" s="4" customFormat="1" ht="38.1" customHeight="1" outlineLevel="1" x14ac:dyDescent="0.2">
      <c r="A1240" s="5" t="s">
        <v>340</v>
      </c>
      <c r="B1240" s="5" t="s">
        <v>341</v>
      </c>
      <c r="C1240" s="5" t="s">
        <v>1269</v>
      </c>
      <c r="D1240" s="5" t="s">
        <v>347</v>
      </c>
      <c r="E1240" s="5" t="s">
        <v>348</v>
      </c>
      <c r="F1240" s="5" t="s">
        <v>14</v>
      </c>
      <c r="G1240" s="6">
        <v>20160</v>
      </c>
      <c r="H1240" s="1233" t="str">
        <f>HYPERLINK("https://adv-map.ru/place/?LINK=d95aa40b6a32cfee7a2050f018611589","Ссылка")</f>
        <v>Ссылка</v>
      </c>
      <c r="I1240" s="5" t="s">
        <v>1270</v>
      </c>
    </row>
    <row r="1241" spans="1:9" s="4" customFormat="1" ht="38.1" customHeight="1" outlineLevel="1" x14ac:dyDescent="0.2">
      <c r="A1241" s="5" t="s">
        <v>340</v>
      </c>
      <c r="B1241" s="5" t="s">
        <v>341</v>
      </c>
      <c r="C1241" s="5" t="s">
        <v>1269</v>
      </c>
      <c r="D1241" s="5" t="s">
        <v>347</v>
      </c>
      <c r="E1241" s="5" t="s">
        <v>348</v>
      </c>
      <c r="F1241" s="5" t="s">
        <v>16</v>
      </c>
      <c r="G1241" s="6">
        <v>15120</v>
      </c>
      <c r="H1241" s="1234" t="str">
        <f>HYPERLINK("https://adv-map.ru/place/?LINK=5a41f10a4354ab67e86a8ad354cfdb4f","Ссылка")</f>
        <v>Ссылка</v>
      </c>
      <c r="I1241" s="5" t="s">
        <v>1270</v>
      </c>
    </row>
    <row r="1242" spans="1:9" s="4" customFormat="1" ht="38.1" customHeight="1" outlineLevel="1" x14ac:dyDescent="0.2">
      <c r="A1242" s="5" t="s">
        <v>340</v>
      </c>
      <c r="B1242" s="5" t="s">
        <v>341</v>
      </c>
      <c r="C1242" s="5" t="s">
        <v>1271</v>
      </c>
      <c r="D1242" s="5" t="s">
        <v>347</v>
      </c>
      <c r="E1242" s="5" t="s">
        <v>348</v>
      </c>
      <c r="F1242" s="5" t="s">
        <v>14</v>
      </c>
      <c r="G1242" s="6">
        <v>22680</v>
      </c>
      <c r="H1242" s="1235" t="str">
        <f>HYPERLINK("https://adv-map.ru/place/?LINK=fc18e9bd31c119a036ad36105dd58c28","Ссылка")</f>
        <v>Ссылка</v>
      </c>
      <c r="I1242" s="5" t="s">
        <v>1272</v>
      </c>
    </row>
    <row r="1243" spans="1:9" s="4" customFormat="1" ht="38.1" customHeight="1" outlineLevel="1" x14ac:dyDescent="0.2">
      <c r="A1243" s="5" t="s">
        <v>340</v>
      </c>
      <c r="B1243" s="5" t="s">
        <v>341</v>
      </c>
      <c r="C1243" s="5" t="s">
        <v>1271</v>
      </c>
      <c r="D1243" s="5" t="s">
        <v>347</v>
      </c>
      <c r="E1243" s="5" t="s">
        <v>348</v>
      </c>
      <c r="F1243" s="5" t="s">
        <v>16</v>
      </c>
      <c r="G1243" s="6">
        <v>17640</v>
      </c>
      <c r="H1243" s="1236" t="str">
        <f>HYPERLINK("https://adv-map.ru/place/?LINK=66357c7eb02ba7acadeacba649b94fd4","Ссылка")</f>
        <v>Ссылка</v>
      </c>
      <c r="I1243" s="5" t="s">
        <v>1272</v>
      </c>
    </row>
    <row r="1244" spans="1:9" s="4" customFormat="1" ht="38.1" customHeight="1" outlineLevel="1" x14ac:dyDescent="0.2">
      <c r="A1244" s="5" t="s">
        <v>340</v>
      </c>
      <c r="B1244" s="5" t="s">
        <v>546</v>
      </c>
      <c r="C1244" s="5" t="s">
        <v>1273</v>
      </c>
      <c r="D1244" s="5" t="s">
        <v>347</v>
      </c>
      <c r="E1244" s="5" t="s">
        <v>348</v>
      </c>
      <c r="F1244" s="5" t="s">
        <v>14</v>
      </c>
      <c r="G1244" s="6">
        <v>20160</v>
      </c>
      <c r="H1244" s="1237" t="str">
        <f>HYPERLINK("https://adv-map.ru/place/?LINK=74132ffe2ef61ef07cb7ef3452481363","Ссылка")</f>
        <v>Ссылка</v>
      </c>
      <c r="I1244" s="5" t="s">
        <v>1274</v>
      </c>
    </row>
    <row r="1245" spans="1:9" s="4" customFormat="1" ht="38.1" customHeight="1" outlineLevel="1" x14ac:dyDescent="0.2">
      <c r="A1245" s="5" t="s">
        <v>340</v>
      </c>
      <c r="B1245" s="5" t="s">
        <v>546</v>
      </c>
      <c r="C1245" s="5" t="s">
        <v>1273</v>
      </c>
      <c r="D1245" s="5" t="s">
        <v>347</v>
      </c>
      <c r="E1245" s="5" t="s">
        <v>348</v>
      </c>
      <c r="F1245" s="5" t="s">
        <v>16</v>
      </c>
      <c r="G1245" s="6">
        <v>17640</v>
      </c>
      <c r="H1245" s="1238" t="str">
        <f>HYPERLINK("https://adv-map.ru/place/?LINK=018a9eb47a68ae07caa3dd737c89784f","Ссылка")</f>
        <v>Ссылка</v>
      </c>
      <c r="I1245" s="5" t="s">
        <v>1274</v>
      </c>
    </row>
    <row r="1246" spans="1:9" s="4" customFormat="1" ht="38.1" customHeight="1" outlineLevel="1" x14ac:dyDescent="0.2">
      <c r="A1246" s="5" t="s">
        <v>340</v>
      </c>
      <c r="B1246" s="5" t="s">
        <v>341</v>
      </c>
      <c r="C1246" s="5" t="s">
        <v>1275</v>
      </c>
      <c r="D1246" s="5" t="s">
        <v>405</v>
      </c>
      <c r="E1246" s="5" t="s">
        <v>348</v>
      </c>
      <c r="F1246" s="5" t="s">
        <v>14</v>
      </c>
      <c r="G1246" s="6">
        <v>25200</v>
      </c>
      <c r="H1246" s="1239" t="str">
        <f>HYPERLINK("https://adv-map.ru/place/?LINK=5ece0dd5917bf5ae25348e91d398f95e","Ссылка")</f>
        <v>Ссылка</v>
      </c>
      <c r="I1246" s="5" t="s">
        <v>1276</v>
      </c>
    </row>
    <row r="1247" spans="1:9" s="4" customFormat="1" ht="38.1" customHeight="1" outlineLevel="1" x14ac:dyDescent="0.2">
      <c r="A1247" s="5" t="s">
        <v>340</v>
      </c>
      <c r="B1247" s="5" t="s">
        <v>341</v>
      </c>
      <c r="C1247" s="5" t="s">
        <v>1275</v>
      </c>
      <c r="D1247" s="5" t="s">
        <v>405</v>
      </c>
      <c r="E1247" s="5" t="s">
        <v>348</v>
      </c>
      <c r="F1247" s="5" t="s">
        <v>16</v>
      </c>
      <c r="G1247" s="6">
        <v>22680</v>
      </c>
      <c r="H1247" s="1240" t="str">
        <f>HYPERLINK("https://adv-map.ru/place/?LINK=02b510226324f209f9f9246d865eb9b8","Ссылка")</f>
        <v>Ссылка</v>
      </c>
      <c r="I1247" s="5" t="s">
        <v>1276</v>
      </c>
    </row>
    <row r="1248" spans="1:9" s="4" customFormat="1" ht="38.1" customHeight="1" outlineLevel="1" x14ac:dyDescent="0.2">
      <c r="A1248" s="5" t="s">
        <v>340</v>
      </c>
      <c r="B1248" s="5" t="s">
        <v>341</v>
      </c>
      <c r="C1248" s="5" t="s">
        <v>1277</v>
      </c>
      <c r="D1248" s="5" t="s">
        <v>405</v>
      </c>
      <c r="E1248" s="5" t="s">
        <v>348</v>
      </c>
      <c r="F1248" s="5" t="s">
        <v>14</v>
      </c>
      <c r="G1248" s="6">
        <v>25200</v>
      </c>
      <c r="H1248" s="1241" t="str">
        <f>HYPERLINK("https://adv-map.ru/place/?LINK=826837f09e237eb153b9e9f400ebb5b3","Ссылка")</f>
        <v>Ссылка</v>
      </c>
      <c r="I1248" s="5" t="s">
        <v>1278</v>
      </c>
    </row>
    <row r="1249" spans="1:9" s="4" customFormat="1" ht="38.1" customHeight="1" outlineLevel="1" x14ac:dyDescent="0.2">
      <c r="A1249" s="5" t="s">
        <v>340</v>
      </c>
      <c r="B1249" s="5" t="s">
        <v>341</v>
      </c>
      <c r="C1249" s="5" t="s">
        <v>1277</v>
      </c>
      <c r="D1249" s="5" t="s">
        <v>405</v>
      </c>
      <c r="E1249" s="5" t="s">
        <v>348</v>
      </c>
      <c r="F1249" s="5" t="s">
        <v>16</v>
      </c>
      <c r="G1249" s="6">
        <v>22680</v>
      </c>
      <c r="H1249" s="1242" t="str">
        <f>HYPERLINK("https://adv-map.ru/place/?LINK=d150469560ad8fdcecbdea86ac0fc86e","Ссылка")</f>
        <v>Ссылка</v>
      </c>
      <c r="I1249" s="5" t="s">
        <v>1278</v>
      </c>
    </row>
    <row r="1250" spans="1:9" s="4" customFormat="1" ht="38.1" customHeight="1" outlineLevel="1" x14ac:dyDescent="0.2">
      <c r="A1250" s="5" t="s">
        <v>340</v>
      </c>
      <c r="B1250" s="5" t="s">
        <v>341</v>
      </c>
      <c r="C1250" s="5" t="s">
        <v>1279</v>
      </c>
      <c r="D1250" s="5" t="s">
        <v>405</v>
      </c>
      <c r="E1250" s="5" t="s">
        <v>348</v>
      </c>
      <c r="F1250" s="5" t="s">
        <v>14</v>
      </c>
      <c r="G1250" s="6">
        <v>25200</v>
      </c>
      <c r="H1250" s="1243" t="str">
        <f>HYPERLINK("https://adv-map.ru/place/?LINK=18c9bbf02a1ead9ec3aab6b0f207eb22","Ссылка")</f>
        <v>Ссылка</v>
      </c>
      <c r="I1250" s="5" t="s">
        <v>1280</v>
      </c>
    </row>
    <row r="1251" spans="1:9" s="4" customFormat="1" ht="38.1" customHeight="1" outlineLevel="1" x14ac:dyDescent="0.2">
      <c r="A1251" s="5" t="s">
        <v>340</v>
      </c>
      <c r="B1251" s="5" t="s">
        <v>341</v>
      </c>
      <c r="C1251" s="5" t="s">
        <v>1279</v>
      </c>
      <c r="D1251" s="5" t="s">
        <v>405</v>
      </c>
      <c r="E1251" s="5" t="s">
        <v>348</v>
      </c>
      <c r="F1251" s="5" t="s">
        <v>16</v>
      </c>
      <c r="G1251" s="6">
        <v>22680</v>
      </c>
      <c r="H1251" s="1244" t="str">
        <f>HYPERLINK("https://adv-map.ru/place/?LINK=02d0867c442b43ff20b92ccc7a9df789","Ссылка")</f>
        <v>Ссылка</v>
      </c>
      <c r="I1251" s="5" t="s">
        <v>1280</v>
      </c>
    </row>
    <row r="1252" spans="1:9" s="4" customFormat="1" ht="38.1" customHeight="1" outlineLevel="1" x14ac:dyDescent="0.2">
      <c r="A1252" s="5" t="s">
        <v>340</v>
      </c>
      <c r="B1252" s="5" t="s">
        <v>546</v>
      </c>
      <c r="C1252" s="5" t="s">
        <v>1281</v>
      </c>
      <c r="D1252" s="5" t="s">
        <v>347</v>
      </c>
      <c r="E1252" s="5" t="s">
        <v>348</v>
      </c>
      <c r="F1252" s="5" t="s">
        <v>14</v>
      </c>
      <c r="G1252" s="6">
        <v>25200</v>
      </c>
      <c r="H1252" s="1245" t="str">
        <f>HYPERLINK("https://adv-map.ru/place/?LINK=b1e0106e02f24f5699dc432bd659ad15","Ссылка")</f>
        <v>Ссылка</v>
      </c>
      <c r="I1252" s="5" t="s">
        <v>1282</v>
      </c>
    </row>
    <row r="1253" spans="1:9" s="4" customFormat="1" ht="38.1" customHeight="1" outlineLevel="1" x14ac:dyDescent="0.2">
      <c r="A1253" s="5" t="s">
        <v>340</v>
      </c>
      <c r="B1253" s="5" t="s">
        <v>546</v>
      </c>
      <c r="C1253" s="5" t="s">
        <v>1281</v>
      </c>
      <c r="D1253" s="5" t="s">
        <v>347</v>
      </c>
      <c r="E1253" s="5" t="s">
        <v>348</v>
      </c>
      <c r="F1253" s="5" t="s">
        <v>16</v>
      </c>
      <c r="G1253" s="6">
        <v>22680</v>
      </c>
      <c r="H1253" s="1246" t="str">
        <f>HYPERLINK("https://adv-map.ru/place/?LINK=05ca38e8273b18b7121f9dd9fb885220","Ссылка")</f>
        <v>Ссылка</v>
      </c>
      <c r="I1253" s="5" t="s">
        <v>1282</v>
      </c>
    </row>
    <row r="1254" spans="1:9" s="4" customFormat="1" ht="38.1" customHeight="1" outlineLevel="1" x14ac:dyDescent="0.2">
      <c r="A1254" s="5" t="s">
        <v>340</v>
      </c>
      <c r="B1254" s="5" t="s">
        <v>546</v>
      </c>
      <c r="C1254" s="5" t="s">
        <v>1283</v>
      </c>
      <c r="D1254" s="5" t="s">
        <v>405</v>
      </c>
      <c r="E1254" s="5" t="s">
        <v>348</v>
      </c>
      <c r="F1254" s="5" t="s">
        <v>14</v>
      </c>
      <c r="G1254" s="6">
        <v>25200</v>
      </c>
      <c r="H1254" s="1247" t="str">
        <f>HYPERLINK("https://adv-map.ru/place/?LINK=1eada4b57d60951093cbaaebae5bf26c","Ссылка")</f>
        <v>Ссылка</v>
      </c>
      <c r="I1254" s="5" t="s">
        <v>1284</v>
      </c>
    </row>
    <row r="1255" spans="1:9" s="4" customFormat="1" ht="38.1" customHeight="1" outlineLevel="1" x14ac:dyDescent="0.2">
      <c r="A1255" s="5" t="s">
        <v>340</v>
      </c>
      <c r="B1255" s="5" t="s">
        <v>546</v>
      </c>
      <c r="C1255" s="5" t="s">
        <v>1283</v>
      </c>
      <c r="D1255" s="5" t="s">
        <v>405</v>
      </c>
      <c r="E1255" s="5" t="s">
        <v>348</v>
      </c>
      <c r="F1255" s="5" t="s">
        <v>16</v>
      </c>
      <c r="G1255" s="6">
        <v>22680</v>
      </c>
      <c r="H1255" s="1248" t="str">
        <f>HYPERLINK("https://adv-map.ru/place/?LINK=6769680b78366767d5dedd9ca45584d1","Ссылка")</f>
        <v>Ссылка</v>
      </c>
      <c r="I1255" s="5" t="s">
        <v>1284</v>
      </c>
    </row>
    <row r="1256" spans="1:9" s="4" customFormat="1" ht="38.1" customHeight="1" outlineLevel="1" x14ac:dyDescent="0.2">
      <c r="A1256" s="5" t="s">
        <v>340</v>
      </c>
      <c r="B1256" s="5" t="s">
        <v>546</v>
      </c>
      <c r="C1256" s="5" t="s">
        <v>1285</v>
      </c>
      <c r="D1256" s="5" t="s">
        <v>347</v>
      </c>
      <c r="E1256" s="5" t="s">
        <v>348</v>
      </c>
      <c r="F1256" s="5" t="s">
        <v>14</v>
      </c>
      <c r="G1256" s="6">
        <v>25200</v>
      </c>
      <c r="H1256" s="1249" t="str">
        <f>HYPERLINK("https://adv-map.ru/place/?LINK=bbb174f6d31200f04d665a3657f48eac","Ссылка")</f>
        <v>Ссылка</v>
      </c>
      <c r="I1256" s="5" t="s">
        <v>1286</v>
      </c>
    </row>
    <row r="1257" spans="1:9" s="4" customFormat="1" ht="38.1" customHeight="1" outlineLevel="1" x14ac:dyDescent="0.2">
      <c r="A1257" s="5" t="s">
        <v>340</v>
      </c>
      <c r="B1257" s="5" t="s">
        <v>546</v>
      </c>
      <c r="C1257" s="5" t="s">
        <v>1285</v>
      </c>
      <c r="D1257" s="5" t="s">
        <v>347</v>
      </c>
      <c r="E1257" s="5" t="s">
        <v>348</v>
      </c>
      <c r="F1257" s="5" t="s">
        <v>16</v>
      </c>
      <c r="G1257" s="6">
        <v>22680</v>
      </c>
      <c r="H1257" s="1250" t="str">
        <f>HYPERLINK("https://adv-map.ru/place/?LINK=c68e85f5257ca2ee8c3a5de6d80f05cb","Ссылка")</f>
        <v>Ссылка</v>
      </c>
      <c r="I1257" s="5" t="s">
        <v>1286</v>
      </c>
    </row>
    <row r="1258" spans="1:9" s="4" customFormat="1" ht="38.1" customHeight="1" outlineLevel="1" x14ac:dyDescent="0.2">
      <c r="A1258" s="5" t="s">
        <v>340</v>
      </c>
      <c r="B1258" s="5" t="s">
        <v>546</v>
      </c>
      <c r="C1258" s="5" t="s">
        <v>1287</v>
      </c>
      <c r="D1258" s="5" t="s">
        <v>12</v>
      </c>
      <c r="E1258" s="5" t="s">
        <v>13</v>
      </c>
      <c r="F1258" s="5" t="s">
        <v>14</v>
      </c>
      <c r="G1258" s="6">
        <v>50400</v>
      </c>
      <c r="H1258" s="1251" t="str">
        <f>HYPERLINK("https://adv-map.ru/place/?LINK=31997f2551c5cd3abcc2e11b07e2aa03","Ссылка")</f>
        <v>Ссылка</v>
      </c>
      <c r="I1258" s="5" t="s">
        <v>1288</v>
      </c>
    </row>
    <row r="1259" spans="1:9" s="4" customFormat="1" ht="38.1" customHeight="1" outlineLevel="1" x14ac:dyDescent="0.2">
      <c r="A1259" s="5" t="s">
        <v>340</v>
      </c>
      <c r="B1259" s="5" t="s">
        <v>546</v>
      </c>
      <c r="C1259" s="5" t="s">
        <v>1287</v>
      </c>
      <c r="D1259" s="5" t="s">
        <v>12</v>
      </c>
      <c r="E1259" s="5" t="s">
        <v>13</v>
      </c>
      <c r="F1259" s="5" t="s">
        <v>16</v>
      </c>
      <c r="G1259" s="6">
        <v>44100</v>
      </c>
      <c r="H1259" s="1252" t="str">
        <f>HYPERLINK("https://adv-map.ru/place/?LINK=5d6821d8754d6f39af854e4af7b1f077","Ссылка")</f>
        <v>Ссылка</v>
      </c>
      <c r="I1259" s="5" t="s">
        <v>1288</v>
      </c>
    </row>
    <row r="1260" spans="1:9" s="4" customFormat="1" ht="38.1" customHeight="1" outlineLevel="1" x14ac:dyDescent="0.2">
      <c r="A1260" s="5" t="s">
        <v>340</v>
      </c>
      <c r="B1260" s="5" t="s">
        <v>546</v>
      </c>
      <c r="C1260" s="5" t="s">
        <v>1289</v>
      </c>
      <c r="D1260" s="5" t="s">
        <v>49</v>
      </c>
      <c r="E1260" s="5" t="s">
        <v>13</v>
      </c>
      <c r="F1260" s="5" t="s">
        <v>28</v>
      </c>
      <c r="G1260" s="6">
        <v>50400</v>
      </c>
      <c r="H1260" s="1253" t="str">
        <f>HYPERLINK("https://adv-map.ru/place/?LINK=1da76953777f6c3c2969503f1fa0d8bb","Ссылка")</f>
        <v>Ссылка</v>
      </c>
      <c r="I1260" s="5" t="s">
        <v>1290</v>
      </c>
    </row>
    <row r="1261" spans="1:9" s="4" customFormat="1" ht="38.1" customHeight="1" outlineLevel="1" x14ac:dyDescent="0.2">
      <c r="A1261" s="5" t="s">
        <v>340</v>
      </c>
      <c r="B1261" s="5" t="s">
        <v>546</v>
      </c>
      <c r="C1261" s="5" t="s">
        <v>1289</v>
      </c>
      <c r="D1261" s="5" t="s">
        <v>49</v>
      </c>
      <c r="E1261" s="5" t="s">
        <v>13</v>
      </c>
      <c r="F1261" s="5" t="s">
        <v>30</v>
      </c>
      <c r="G1261" s="6">
        <v>50400</v>
      </c>
      <c r="H1261" s="1254" t="str">
        <f>HYPERLINK("https://adv-map.ru/place/?LINK=880e9b44a529daad1a6975e8456b47fc","Ссылка")</f>
        <v>Ссылка</v>
      </c>
      <c r="I1261" s="5" t="s">
        <v>1290</v>
      </c>
    </row>
    <row r="1262" spans="1:9" s="4" customFormat="1" ht="38.1" customHeight="1" outlineLevel="1" x14ac:dyDescent="0.2">
      <c r="A1262" s="5" t="s">
        <v>340</v>
      </c>
      <c r="B1262" s="5" t="s">
        <v>546</v>
      </c>
      <c r="C1262" s="5" t="s">
        <v>1289</v>
      </c>
      <c r="D1262" s="5" t="s">
        <v>49</v>
      </c>
      <c r="E1262" s="5" t="s">
        <v>13</v>
      </c>
      <c r="F1262" s="5" t="s">
        <v>31</v>
      </c>
      <c r="G1262" s="6">
        <v>50400</v>
      </c>
      <c r="H1262" s="1255" t="str">
        <f>HYPERLINK("https://adv-map.ru/place/?LINK=68d9aa64692b57d0f7204e4c9fc68f94","Ссылка")</f>
        <v>Ссылка</v>
      </c>
      <c r="I1262" s="5" t="s">
        <v>1290</v>
      </c>
    </row>
    <row r="1263" spans="1:9" s="4" customFormat="1" ht="38.1" customHeight="1" outlineLevel="1" x14ac:dyDescent="0.2">
      <c r="A1263" s="5" t="s">
        <v>340</v>
      </c>
      <c r="B1263" s="5" t="s">
        <v>546</v>
      </c>
      <c r="C1263" s="5" t="s">
        <v>1289</v>
      </c>
      <c r="D1263" s="5" t="s">
        <v>12</v>
      </c>
      <c r="E1263" s="5" t="s">
        <v>13</v>
      </c>
      <c r="F1263" s="5" t="s">
        <v>16</v>
      </c>
      <c r="G1263" s="6">
        <v>37800</v>
      </c>
      <c r="H1263" s="1256" t="str">
        <f>HYPERLINK("https://adv-map.ru/place/?LINK=6b39c06e9ff21bb473a4bfc5f1a6642f","Ссылка")</f>
        <v>Ссылка</v>
      </c>
      <c r="I1263" s="5" t="s">
        <v>1290</v>
      </c>
    </row>
    <row r="1264" spans="1:9" s="4" customFormat="1" ht="38.1" customHeight="1" outlineLevel="1" x14ac:dyDescent="0.2">
      <c r="A1264" s="5" t="s">
        <v>340</v>
      </c>
      <c r="B1264" s="5" t="s">
        <v>546</v>
      </c>
      <c r="C1264" s="5" t="s">
        <v>1291</v>
      </c>
      <c r="D1264" s="5" t="s">
        <v>12</v>
      </c>
      <c r="E1264" s="5" t="s">
        <v>13</v>
      </c>
      <c r="F1264" s="5" t="s">
        <v>14</v>
      </c>
      <c r="G1264" s="6">
        <v>50400</v>
      </c>
      <c r="H1264" s="1257" t="str">
        <f>HYPERLINK("https://adv-map.ru/place/?LINK=a96d7f09a5530e5689e19e5e88485ffe","Ссылка")</f>
        <v>Ссылка</v>
      </c>
      <c r="I1264" s="5" t="s">
        <v>1292</v>
      </c>
    </row>
    <row r="1265" spans="1:9" s="4" customFormat="1" ht="38.1" customHeight="1" outlineLevel="1" x14ac:dyDescent="0.2">
      <c r="A1265" s="5" t="s">
        <v>340</v>
      </c>
      <c r="B1265" s="5" t="s">
        <v>546</v>
      </c>
      <c r="C1265" s="5" t="s">
        <v>1291</v>
      </c>
      <c r="D1265" s="5" t="s">
        <v>12</v>
      </c>
      <c r="E1265" s="5" t="s">
        <v>13</v>
      </c>
      <c r="F1265" s="5" t="s">
        <v>16</v>
      </c>
      <c r="G1265" s="6">
        <v>37800</v>
      </c>
      <c r="H1265" s="1258" t="str">
        <f>HYPERLINK("https://adv-map.ru/place/?LINK=bf03e0b75a3402bcc57a39b5a5775ebb","Ссылка")</f>
        <v>Ссылка</v>
      </c>
      <c r="I1265" s="5" t="s">
        <v>1292</v>
      </c>
    </row>
    <row r="1266" spans="1:9" s="4" customFormat="1" ht="38.1" customHeight="1" outlineLevel="1" x14ac:dyDescent="0.2">
      <c r="A1266" s="5" t="s">
        <v>340</v>
      </c>
      <c r="B1266" s="5" t="s">
        <v>365</v>
      </c>
      <c r="C1266" s="5" t="s">
        <v>1293</v>
      </c>
      <c r="D1266" s="5" t="s">
        <v>49</v>
      </c>
      <c r="E1266" s="5" t="s">
        <v>13</v>
      </c>
      <c r="F1266" s="5" t="s">
        <v>28</v>
      </c>
      <c r="G1266" s="6">
        <v>50400</v>
      </c>
      <c r="H1266" s="1259" t="str">
        <f>HYPERLINK("https://adv-map.ru/place/?LINK=4f3904ed1d022736786b6b9ec66942e9","Ссылка")</f>
        <v>Ссылка</v>
      </c>
      <c r="I1266" s="5" t="s">
        <v>1294</v>
      </c>
    </row>
    <row r="1267" spans="1:9" s="4" customFormat="1" ht="38.1" customHeight="1" outlineLevel="1" x14ac:dyDescent="0.2">
      <c r="A1267" s="5" t="s">
        <v>340</v>
      </c>
      <c r="B1267" s="5" t="s">
        <v>365</v>
      </c>
      <c r="C1267" s="5" t="s">
        <v>1293</v>
      </c>
      <c r="D1267" s="5" t="s">
        <v>49</v>
      </c>
      <c r="E1267" s="5" t="s">
        <v>13</v>
      </c>
      <c r="F1267" s="5" t="s">
        <v>30</v>
      </c>
      <c r="G1267" s="6">
        <v>50400</v>
      </c>
      <c r="H1267" s="1260" t="str">
        <f>HYPERLINK("https://adv-map.ru/place/?LINK=42a4b6eb2e7264667dad448adcc6a9f6","Ссылка")</f>
        <v>Ссылка</v>
      </c>
      <c r="I1267" s="5" t="s">
        <v>1294</v>
      </c>
    </row>
    <row r="1268" spans="1:9" s="4" customFormat="1" ht="38.1" customHeight="1" outlineLevel="1" x14ac:dyDescent="0.2">
      <c r="A1268" s="5" t="s">
        <v>340</v>
      </c>
      <c r="B1268" s="5" t="s">
        <v>365</v>
      </c>
      <c r="C1268" s="5" t="s">
        <v>1293</v>
      </c>
      <c r="D1268" s="5" t="s">
        <v>49</v>
      </c>
      <c r="E1268" s="5" t="s">
        <v>13</v>
      </c>
      <c r="F1268" s="5" t="s">
        <v>31</v>
      </c>
      <c r="G1268" s="6">
        <v>50400</v>
      </c>
      <c r="H1268" s="1261" t="str">
        <f>HYPERLINK("https://adv-map.ru/place/?LINK=43776b7dba006d40a4e547cb05afe336","Ссылка")</f>
        <v>Ссылка</v>
      </c>
      <c r="I1268" s="5" t="s">
        <v>1294</v>
      </c>
    </row>
    <row r="1269" spans="1:9" s="4" customFormat="1" ht="38.1" customHeight="1" outlineLevel="1" x14ac:dyDescent="0.2">
      <c r="A1269" s="5" t="s">
        <v>340</v>
      </c>
      <c r="B1269" s="5" t="s">
        <v>365</v>
      </c>
      <c r="C1269" s="5" t="s">
        <v>1293</v>
      </c>
      <c r="D1269" s="5" t="s">
        <v>12</v>
      </c>
      <c r="E1269" s="5" t="s">
        <v>13</v>
      </c>
      <c r="F1269" s="5" t="s">
        <v>16</v>
      </c>
      <c r="G1269" s="6">
        <v>37800</v>
      </c>
      <c r="H1269" s="1262" t="str">
        <f>HYPERLINK("https://adv-map.ru/place/?LINK=2c9734a05580651026284701c9653f37","Ссылка")</f>
        <v>Ссылка</v>
      </c>
      <c r="I1269" s="5" t="s">
        <v>1294</v>
      </c>
    </row>
    <row r="1270" spans="1:9" s="4" customFormat="1" ht="38.1" customHeight="1" outlineLevel="1" x14ac:dyDescent="0.2">
      <c r="A1270" s="5" t="s">
        <v>340</v>
      </c>
      <c r="B1270" s="5" t="s">
        <v>365</v>
      </c>
      <c r="C1270" s="5" t="s">
        <v>1295</v>
      </c>
      <c r="D1270" s="5" t="s">
        <v>12</v>
      </c>
      <c r="E1270" s="5" t="s">
        <v>13</v>
      </c>
      <c r="F1270" s="5" t="s">
        <v>14</v>
      </c>
      <c r="G1270" s="6">
        <v>50400</v>
      </c>
      <c r="H1270" s="1263" t="str">
        <f>HYPERLINK("https://adv-map.ru/place/?LINK=ad84b286e53964750dce97de0b3abb9b","Ссылка")</f>
        <v>Ссылка</v>
      </c>
      <c r="I1270" s="5"/>
    </row>
    <row r="1271" spans="1:9" s="4" customFormat="1" ht="38.1" customHeight="1" outlineLevel="1" x14ac:dyDescent="0.2">
      <c r="A1271" s="5" t="s">
        <v>340</v>
      </c>
      <c r="B1271" s="5" t="s">
        <v>365</v>
      </c>
      <c r="C1271" s="5" t="s">
        <v>1295</v>
      </c>
      <c r="D1271" s="5" t="s">
        <v>49</v>
      </c>
      <c r="E1271" s="5" t="s">
        <v>13</v>
      </c>
      <c r="F1271" s="5" t="s">
        <v>28</v>
      </c>
      <c r="G1271" s="6">
        <v>48000</v>
      </c>
      <c r="H1271" s="1264" t="str">
        <f>HYPERLINK("https://adv-map.ru/place/?LINK=69fbda4d62513b5001c7224630a23897","Ссылка")</f>
        <v>Ссылка</v>
      </c>
      <c r="I1271" s="5" t="s">
        <v>1296</v>
      </c>
    </row>
    <row r="1272" spans="1:9" s="4" customFormat="1" ht="38.1" customHeight="1" outlineLevel="1" x14ac:dyDescent="0.2">
      <c r="A1272" s="5" t="s">
        <v>340</v>
      </c>
      <c r="B1272" s="5" t="s">
        <v>365</v>
      </c>
      <c r="C1272" s="5" t="s">
        <v>1295</v>
      </c>
      <c r="D1272" s="5" t="s">
        <v>49</v>
      </c>
      <c r="E1272" s="5" t="s">
        <v>13</v>
      </c>
      <c r="F1272" s="5" t="s">
        <v>30</v>
      </c>
      <c r="G1272" s="6">
        <v>48000</v>
      </c>
      <c r="H1272" s="1265" t="str">
        <f>HYPERLINK("https://adv-map.ru/place/?LINK=391084a1125ebf898bf149aa07b2ddc6","Ссылка")</f>
        <v>Ссылка</v>
      </c>
      <c r="I1272" s="5" t="s">
        <v>1296</v>
      </c>
    </row>
    <row r="1273" spans="1:9" s="4" customFormat="1" ht="38.1" customHeight="1" outlineLevel="1" x14ac:dyDescent="0.2">
      <c r="A1273" s="5" t="s">
        <v>340</v>
      </c>
      <c r="B1273" s="5" t="s">
        <v>365</v>
      </c>
      <c r="C1273" s="5" t="s">
        <v>1295</v>
      </c>
      <c r="D1273" s="5" t="s">
        <v>49</v>
      </c>
      <c r="E1273" s="5" t="s">
        <v>13</v>
      </c>
      <c r="F1273" s="5" t="s">
        <v>31</v>
      </c>
      <c r="G1273" s="6">
        <v>48000</v>
      </c>
      <c r="H1273" s="1266" t="str">
        <f>HYPERLINK("https://adv-map.ru/place/?LINK=0e7f047bb5845fd134fdd6a614999820","Ссылка")</f>
        <v>Ссылка</v>
      </c>
      <c r="I1273" s="5" t="s">
        <v>1296</v>
      </c>
    </row>
    <row r="1274" spans="1:9" s="4" customFormat="1" ht="38.1" customHeight="1" outlineLevel="1" x14ac:dyDescent="0.2">
      <c r="A1274" s="5" t="s">
        <v>340</v>
      </c>
      <c r="B1274" s="5" t="s">
        <v>365</v>
      </c>
      <c r="C1274" s="5" t="s">
        <v>1295</v>
      </c>
      <c r="D1274" s="5" t="s">
        <v>12</v>
      </c>
      <c r="E1274" s="5" t="s">
        <v>13</v>
      </c>
      <c r="F1274" s="5" t="s">
        <v>16</v>
      </c>
      <c r="G1274" s="6">
        <v>37800</v>
      </c>
      <c r="H1274" s="1267" t="str">
        <f>HYPERLINK("https://adv-map.ru/place/?LINK=5688e457633e8ef494bef04fe9cc353f","Ссылка")</f>
        <v>Ссылка</v>
      </c>
      <c r="I1274" s="5" t="s">
        <v>1297</v>
      </c>
    </row>
    <row r="1275" spans="1:9" s="4" customFormat="1" ht="38.1" customHeight="1" outlineLevel="1" x14ac:dyDescent="0.2">
      <c r="A1275" s="5" t="s">
        <v>340</v>
      </c>
      <c r="B1275" s="5" t="s">
        <v>365</v>
      </c>
      <c r="C1275" s="5" t="s">
        <v>1298</v>
      </c>
      <c r="D1275" s="5" t="s">
        <v>347</v>
      </c>
      <c r="E1275" s="5" t="s">
        <v>348</v>
      </c>
      <c r="F1275" s="5" t="s">
        <v>14</v>
      </c>
      <c r="G1275" s="6">
        <v>25200</v>
      </c>
      <c r="H1275" s="1268" t="str">
        <f>HYPERLINK("https://adv-map.ru/place/?LINK=1d958b0699ebc0f2b0c943aa0b7b3311","Ссылка")</f>
        <v>Ссылка</v>
      </c>
      <c r="I1275" s="5" t="s">
        <v>1299</v>
      </c>
    </row>
    <row r="1276" spans="1:9" s="4" customFormat="1" ht="38.1" customHeight="1" outlineLevel="1" x14ac:dyDescent="0.2">
      <c r="A1276" s="5" t="s">
        <v>340</v>
      </c>
      <c r="B1276" s="5" t="s">
        <v>365</v>
      </c>
      <c r="C1276" s="5" t="s">
        <v>1298</v>
      </c>
      <c r="D1276" s="5" t="s">
        <v>347</v>
      </c>
      <c r="E1276" s="5" t="s">
        <v>348</v>
      </c>
      <c r="F1276" s="5" t="s">
        <v>16</v>
      </c>
      <c r="G1276" s="6">
        <v>22680</v>
      </c>
      <c r="H1276" s="1269" t="str">
        <f>HYPERLINK("https://adv-map.ru/place/?LINK=5038229d2958211e820639c87661b63d","Ссылка")</f>
        <v>Ссылка</v>
      </c>
      <c r="I1276" s="5" t="s">
        <v>1299</v>
      </c>
    </row>
    <row r="1277" spans="1:9" s="4" customFormat="1" ht="51" customHeight="1" outlineLevel="1" x14ac:dyDescent="0.2">
      <c r="A1277" s="5" t="s">
        <v>340</v>
      </c>
      <c r="B1277" s="5" t="s">
        <v>365</v>
      </c>
      <c r="C1277" s="5" t="s">
        <v>1300</v>
      </c>
      <c r="D1277" s="5" t="s">
        <v>12</v>
      </c>
      <c r="E1277" s="5" t="s">
        <v>13</v>
      </c>
      <c r="F1277" s="5" t="s">
        <v>14</v>
      </c>
      <c r="G1277" s="6">
        <v>50400</v>
      </c>
      <c r="H1277" s="1270" t="str">
        <f>HYPERLINK("https://adv-map.ru/place/?LINK=c4378c3b89ab99445a2eb685bd74aa08","Ссылка")</f>
        <v>Ссылка</v>
      </c>
      <c r="I1277" s="5" t="s">
        <v>1301</v>
      </c>
    </row>
    <row r="1278" spans="1:9" s="4" customFormat="1" ht="38.1" customHeight="1" outlineLevel="1" x14ac:dyDescent="0.2">
      <c r="A1278" s="5" t="s">
        <v>340</v>
      </c>
      <c r="B1278" s="5" t="s">
        <v>365</v>
      </c>
      <c r="C1278" s="5" t="s">
        <v>1300</v>
      </c>
      <c r="D1278" s="5" t="s">
        <v>12</v>
      </c>
      <c r="E1278" s="5" t="s">
        <v>13</v>
      </c>
      <c r="F1278" s="5" t="s">
        <v>16</v>
      </c>
      <c r="G1278" s="6">
        <v>37800</v>
      </c>
      <c r="H1278" s="1271" t="str">
        <f>HYPERLINK("https://adv-map.ru/place/?LINK=cda1b254255973f27055eb03c5e6da9b","Ссылка")</f>
        <v>Ссылка</v>
      </c>
      <c r="I1278" s="5" t="s">
        <v>1301</v>
      </c>
    </row>
    <row r="1279" spans="1:9" s="4" customFormat="1" ht="38.1" customHeight="1" outlineLevel="1" x14ac:dyDescent="0.2">
      <c r="A1279" s="5" t="s">
        <v>340</v>
      </c>
      <c r="B1279" s="5" t="s">
        <v>365</v>
      </c>
      <c r="C1279" s="5" t="s">
        <v>1302</v>
      </c>
      <c r="D1279" s="5" t="s">
        <v>12</v>
      </c>
      <c r="E1279" s="5" t="s">
        <v>13</v>
      </c>
      <c r="F1279" s="5" t="s">
        <v>14</v>
      </c>
      <c r="G1279" s="6">
        <v>50400</v>
      </c>
      <c r="H1279" s="1272" t="str">
        <f>HYPERLINK("https://adv-map.ru/place/?LINK=75f112329883f9806d8f4e748b316d31","Ссылка")</f>
        <v>Ссылка</v>
      </c>
      <c r="I1279" s="5" t="s">
        <v>1303</v>
      </c>
    </row>
    <row r="1280" spans="1:9" s="4" customFormat="1" ht="38.1" customHeight="1" outlineLevel="1" x14ac:dyDescent="0.2">
      <c r="A1280" s="5" t="s">
        <v>340</v>
      </c>
      <c r="B1280" s="5" t="s">
        <v>365</v>
      </c>
      <c r="C1280" s="5" t="s">
        <v>1302</v>
      </c>
      <c r="D1280" s="5" t="s">
        <v>12</v>
      </c>
      <c r="E1280" s="5" t="s">
        <v>13</v>
      </c>
      <c r="F1280" s="5" t="s">
        <v>16</v>
      </c>
      <c r="G1280" s="6">
        <v>37800</v>
      </c>
      <c r="H1280" s="1273" t="str">
        <f>HYPERLINK("https://adv-map.ru/place/?LINK=1c7ca899afee6223cb57effcd8d09f01","Ссылка")</f>
        <v>Ссылка</v>
      </c>
      <c r="I1280" s="5" t="s">
        <v>1303</v>
      </c>
    </row>
    <row r="1281" spans="1:9" s="4" customFormat="1" ht="38.1" customHeight="1" outlineLevel="1" x14ac:dyDescent="0.2">
      <c r="A1281" s="5" t="s">
        <v>340</v>
      </c>
      <c r="B1281" s="5" t="s">
        <v>365</v>
      </c>
      <c r="C1281" s="5" t="s">
        <v>1304</v>
      </c>
      <c r="D1281" s="5" t="s">
        <v>49</v>
      </c>
      <c r="E1281" s="5" t="s">
        <v>13</v>
      </c>
      <c r="F1281" s="5" t="s">
        <v>31</v>
      </c>
      <c r="G1281" s="6">
        <v>50400</v>
      </c>
      <c r="H1281" s="1274" t="str">
        <f>HYPERLINK("https://adv-map.ru/place/?LINK=cbb56953a26d89165fc819f2e2ed3493","Ссылка")</f>
        <v>Ссылка</v>
      </c>
      <c r="I1281" s="5" t="s">
        <v>1305</v>
      </c>
    </row>
    <row r="1282" spans="1:9" s="4" customFormat="1" ht="38.1" customHeight="1" outlineLevel="1" x14ac:dyDescent="0.2">
      <c r="A1282" s="5" t="s">
        <v>340</v>
      </c>
      <c r="B1282" s="5" t="s">
        <v>365</v>
      </c>
      <c r="C1282" s="5" t="s">
        <v>1304</v>
      </c>
      <c r="D1282" s="5" t="s">
        <v>12</v>
      </c>
      <c r="E1282" s="5" t="s">
        <v>13</v>
      </c>
      <c r="F1282" s="5" t="s">
        <v>16</v>
      </c>
      <c r="G1282" s="6">
        <v>37800</v>
      </c>
      <c r="H1282" s="1275" t="str">
        <f>HYPERLINK("https://adv-map.ru/place/?LINK=471784654292a7f4f2e354b0a27e11cf","Ссылка")</f>
        <v>Ссылка</v>
      </c>
      <c r="I1282" s="5" t="s">
        <v>1305</v>
      </c>
    </row>
    <row r="1283" spans="1:9" s="4" customFormat="1" ht="38.1" customHeight="1" outlineLevel="1" x14ac:dyDescent="0.2">
      <c r="A1283" s="5" t="s">
        <v>340</v>
      </c>
      <c r="B1283" s="5" t="s">
        <v>365</v>
      </c>
      <c r="C1283" s="5" t="s">
        <v>1306</v>
      </c>
      <c r="D1283" s="5" t="s">
        <v>49</v>
      </c>
      <c r="E1283" s="5" t="s">
        <v>13</v>
      </c>
      <c r="F1283" s="5" t="s">
        <v>28</v>
      </c>
      <c r="G1283" s="6">
        <v>50400</v>
      </c>
      <c r="H1283" s="1276" t="str">
        <f>HYPERLINK("https://adv-map.ru/place/?LINK=e16a5a1f73c83c48ce122aafcc293833","Ссылка")</f>
        <v>Ссылка</v>
      </c>
      <c r="I1283" s="5" t="s">
        <v>1305</v>
      </c>
    </row>
    <row r="1284" spans="1:9" s="4" customFormat="1" ht="38.1" customHeight="1" outlineLevel="1" x14ac:dyDescent="0.2">
      <c r="A1284" s="5" t="s">
        <v>340</v>
      </c>
      <c r="B1284" s="5" t="s">
        <v>365</v>
      </c>
      <c r="C1284" s="5" t="s">
        <v>1306</v>
      </c>
      <c r="D1284" s="5" t="s">
        <v>49</v>
      </c>
      <c r="E1284" s="5" t="s">
        <v>13</v>
      </c>
      <c r="F1284" s="5" t="s">
        <v>30</v>
      </c>
      <c r="G1284" s="6">
        <v>50400</v>
      </c>
      <c r="H1284" s="1277" t="str">
        <f>HYPERLINK("https://adv-map.ru/place/?LINK=a2c9f19b9644420186d59cd5f9ec99ab","Ссылка")</f>
        <v>Ссылка</v>
      </c>
      <c r="I1284" s="5" t="s">
        <v>1305</v>
      </c>
    </row>
    <row r="1285" spans="1:9" s="4" customFormat="1" ht="38.1" customHeight="1" outlineLevel="1" x14ac:dyDescent="0.2">
      <c r="A1285" s="5" t="s">
        <v>340</v>
      </c>
      <c r="B1285" s="5" t="s">
        <v>365</v>
      </c>
      <c r="C1285" s="5" t="s">
        <v>1307</v>
      </c>
      <c r="D1285" s="5" t="s">
        <v>347</v>
      </c>
      <c r="E1285" s="5" t="s">
        <v>348</v>
      </c>
      <c r="F1285" s="5" t="s">
        <v>14</v>
      </c>
      <c r="G1285" s="6">
        <v>25200</v>
      </c>
      <c r="H1285" s="1278" t="str">
        <f>HYPERLINK("https://adv-map.ru/place/?LINK=aa36d0d5325806da5ce146d4ebe28cd3","Ссылка")</f>
        <v>Ссылка</v>
      </c>
      <c r="I1285" s="5" t="s">
        <v>1308</v>
      </c>
    </row>
    <row r="1286" spans="1:9" s="4" customFormat="1" ht="38.1" customHeight="1" outlineLevel="1" x14ac:dyDescent="0.2">
      <c r="A1286" s="5" t="s">
        <v>340</v>
      </c>
      <c r="B1286" s="5" t="s">
        <v>365</v>
      </c>
      <c r="C1286" s="5" t="s">
        <v>1307</v>
      </c>
      <c r="D1286" s="5" t="s">
        <v>347</v>
      </c>
      <c r="E1286" s="5" t="s">
        <v>348</v>
      </c>
      <c r="F1286" s="5" t="s">
        <v>16</v>
      </c>
      <c r="G1286" s="6">
        <v>22680</v>
      </c>
      <c r="H1286" s="1279" t="str">
        <f>HYPERLINK("https://adv-map.ru/place/?LINK=cc572a7b9de85a55c6bea3d43eb145a8","Ссылка")</f>
        <v>Ссылка</v>
      </c>
      <c r="I1286" s="5" t="s">
        <v>1308</v>
      </c>
    </row>
    <row r="1287" spans="1:9" s="4" customFormat="1" ht="38.1" customHeight="1" outlineLevel="1" x14ac:dyDescent="0.2">
      <c r="A1287" s="5" t="s">
        <v>340</v>
      </c>
      <c r="B1287" s="5" t="s">
        <v>365</v>
      </c>
      <c r="C1287" s="5" t="s">
        <v>1309</v>
      </c>
      <c r="D1287" s="5" t="s">
        <v>405</v>
      </c>
      <c r="E1287" s="5" t="s">
        <v>348</v>
      </c>
      <c r="F1287" s="5" t="s">
        <v>14</v>
      </c>
      <c r="G1287" s="6">
        <v>30240</v>
      </c>
      <c r="H1287" s="1280" t="str">
        <f>HYPERLINK("https://adv-map.ru/place/?LINK=fcc1c9c82fe886d570d1b9228b287c01","Ссылка")</f>
        <v>Ссылка</v>
      </c>
      <c r="I1287" s="5" t="s">
        <v>1310</v>
      </c>
    </row>
    <row r="1288" spans="1:9" s="4" customFormat="1" ht="38.1" customHeight="1" outlineLevel="1" x14ac:dyDescent="0.2">
      <c r="A1288" s="5" t="s">
        <v>340</v>
      </c>
      <c r="B1288" s="5" t="s">
        <v>365</v>
      </c>
      <c r="C1288" s="5" t="s">
        <v>1309</v>
      </c>
      <c r="D1288" s="5" t="s">
        <v>405</v>
      </c>
      <c r="E1288" s="5" t="s">
        <v>348</v>
      </c>
      <c r="F1288" s="5" t="s">
        <v>16</v>
      </c>
      <c r="G1288" s="6">
        <v>25200</v>
      </c>
      <c r="H1288" s="1281" t="str">
        <f>HYPERLINK("https://adv-map.ru/place/?LINK=0c6bdafb485ef36218293654919435d3","Ссылка")</f>
        <v>Ссылка</v>
      </c>
      <c r="I1288" s="5" t="s">
        <v>1310</v>
      </c>
    </row>
    <row r="1289" spans="1:9" s="4" customFormat="1" ht="38.1" customHeight="1" outlineLevel="1" x14ac:dyDescent="0.2">
      <c r="A1289" s="5" t="s">
        <v>340</v>
      </c>
      <c r="B1289" s="5" t="s">
        <v>341</v>
      </c>
      <c r="C1289" s="5" t="s">
        <v>1311</v>
      </c>
      <c r="D1289" s="5" t="s">
        <v>12</v>
      </c>
      <c r="E1289" s="5" t="s">
        <v>13</v>
      </c>
      <c r="F1289" s="5" t="s">
        <v>14</v>
      </c>
      <c r="G1289" s="6">
        <v>44100</v>
      </c>
      <c r="H1289" s="1282" t="str">
        <f>HYPERLINK("https://adv-map.ru/place/?LINK=b6f142d82d1ccd0df1ca357fcb32716a","Ссылка")</f>
        <v>Ссылка</v>
      </c>
      <c r="I1289" s="5" t="s">
        <v>1312</v>
      </c>
    </row>
    <row r="1290" spans="1:9" s="4" customFormat="1" ht="38.1" customHeight="1" outlineLevel="1" x14ac:dyDescent="0.2">
      <c r="A1290" s="5" t="s">
        <v>340</v>
      </c>
      <c r="B1290" s="5" t="s">
        <v>341</v>
      </c>
      <c r="C1290" s="5" t="s">
        <v>1311</v>
      </c>
      <c r="D1290" s="5" t="s">
        <v>12</v>
      </c>
      <c r="E1290" s="5" t="s">
        <v>13</v>
      </c>
      <c r="F1290" s="5" t="s">
        <v>16</v>
      </c>
      <c r="G1290" s="6">
        <v>31500</v>
      </c>
      <c r="H1290" s="1283" t="str">
        <f>HYPERLINK("https://adv-map.ru/place/?LINK=a2015b715d3190b6c8c87fc2434db308","Ссылка")</f>
        <v>Ссылка</v>
      </c>
      <c r="I1290" s="5" t="s">
        <v>1312</v>
      </c>
    </row>
    <row r="1291" spans="1:9" s="4" customFormat="1" ht="38.1" customHeight="1" outlineLevel="1" x14ac:dyDescent="0.2">
      <c r="A1291" s="5" t="s">
        <v>340</v>
      </c>
      <c r="B1291" s="5" t="s">
        <v>341</v>
      </c>
      <c r="C1291" s="5" t="s">
        <v>1313</v>
      </c>
      <c r="D1291" s="5" t="s">
        <v>12</v>
      </c>
      <c r="E1291" s="5" t="s">
        <v>13</v>
      </c>
      <c r="F1291" s="5" t="s">
        <v>14</v>
      </c>
      <c r="G1291" s="6">
        <v>44100</v>
      </c>
      <c r="H1291" s="1284" t="str">
        <f>HYPERLINK("https://adv-map.ru/place/?LINK=14239b4a87fbc587d8eccf6e52a9040a","Ссылка")</f>
        <v>Ссылка</v>
      </c>
      <c r="I1291" s="5" t="s">
        <v>1314</v>
      </c>
    </row>
    <row r="1292" spans="1:9" s="4" customFormat="1" ht="38.1" customHeight="1" outlineLevel="1" x14ac:dyDescent="0.2">
      <c r="A1292" s="5" t="s">
        <v>340</v>
      </c>
      <c r="B1292" s="5" t="s">
        <v>341</v>
      </c>
      <c r="C1292" s="5" t="s">
        <v>1313</v>
      </c>
      <c r="D1292" s="5" t="s">
        <v>12</v>
      </c>
      <c r="E1292" s="5" t="s">
        <v>13</v>
      </c>
      <c r="F1292" s="5" t="s">
        <v>16</v>
      </c>
      <c r="G1292" s="6">
        <v>31500</v>
      </c>
      <c r="H1292" s="1285" t="str">
        <f>HYPERLINK("https://adv-map.ru/place/?LINK=b4f277a115a787baac8034ee311c9c44","Ссылка")</f>
        <v>Ссылка</v>
      </c>
      <c r="I1292" s="5" t="s">
        <v>1314</v>
      </c>
    </row>
    <row r="1293" spans="1:9" s="4" customFormat="1" ht="38.1" customHeight="1" outlineLevel="1" x14ac:dyDescent="0.2">
      <c r="A1293" s="5" t="s">
        <v>340</v>
      </c>
      <c r="B1293" s="5" t="s">
        <v>341</v>
      </c>
      <c r="C1293" s="5" t="s">
        <v>1315</v>
      </c>
      <c r="D1293" s="5" t="s">
        <v>12</v>
      </c>
      <c r="E1293" s="5" t="s">
        <v>13</v>
      </c>
      <c r="F1293" s="5" t="s">
        <v>16</v>
      </c>
      <c r="G1293" s="6">
        <v>31500</v>
      </c>
      <c r="H1293" s="1286" t="str">
        <f>HYPERLINK("https://adv-map.ru/place/?LINK=ce24ed68c6f5620e3546fe720d59dd02","Ссылка")</f>
        <v>Ссылка</v>
      </c>
      <c r="I1293" s="5" t="s">
        <v>1316</v>
      </c>
    </row>
    <row r="1294" spans="1:9" s="4" customFormat="1" ht="38.1" customHeight="1" outlineLevel="1" x14ac:dyDescent="0.2">
      <c r="A1294" s="5" t="s">
        <v>340</v>
      </c>
      <c r="B1294" s="5" t="s">
        <v>341</v>
      </c>
      <c r="C1294" s="5" t="s">
        <v>1317</v>
      </c>
      <c r="D1294" s="5" t="s">
        <v>12</v>
      </c>
      <c r="E1294" s="5" t="s">
        <v>13</v>
      </c>
      <c r="F1294" s="5" t="s">
        <v>14</v>
      </c>
      <c r="G1294" s="6">
        <v>44100</v>
      </c>
      <c r="H1294" s="1287" t="str">
        <f>HYPERLINK("https://adv-map.ru/place/?LINK=8c4e9a87d2cdc55681786137ee630c72","Ссылка")</f>
        <v>Ссылка</v>
      </c>
      <c r="I1294" s="5" t="s">
        <v>1316</v>
      </c>
    </row>
    <row r="1295" spans="1:9" s="4" customFormat="1" ht="38.1" customHeight="1" outlineLevel="1" x14ac:dyDescent="0.2">
      <c r="A1295" s="5" t="s">
        <v>340</v>
      </c>
      <c r="B1295" s="5" t="s">
        <v>341</v>
      </c>
      <c r="C1295" s="5" t="s">
        <v>1318</v>
      </c>
      <c r="D1295" s="5" t="s">
        <v>12</v>
      </c>
      <c r="E1295" s="5" t="s">
        <v>13</v>
      </c>
      <c r="F1295" s="5" t="s">
        <v>14</v>
      </c>
      <c r="G1295" s="6">
        <v>44100</v>
      </c>
      <c r="H1295" s="1288" t="str">
        <f>HYPERLINK("https://adv-map.ru/place/?LINK=d6dcbcfb676dc5e949af07b1f5d2d47c","Ссылка")</f>
        <v>Ссылка</v>
      </c>
      <c r="I1295" s="5" t="s">
        <v>1319</v>
      </c>
    </row>
    <row r="1296" spans="1:9" s="4" customFormat="1" ht="38.1" customHeight="1" outlineLevel="1" x14ac:dyDescent="0.2">
      <c r="A1296" s="5" t="s">
        <v>340</v>
      </c>
      <c r="B1296" s="5" t="s">
        <v>341</v>
      </c>
      <c r="C1296" s="5" t="s">
        <v>1318</v>
      </c>
      <c r="D1296" s="5" t="s">
        <v>12</v>
      </c>
      <c r="E1296" s="5" t="s">
        <v>13</v>
      </c>
      <c r="F1296" s="5" t="s">
        <v>16</v>
      </c>
      <c r="G1296" s="6">
        <v>31500</v>
      </c>
      <c r="H1296" s="1289" t="str">
        <f>HYPERLINK("https://adv-map.ru/place/?LINK=2769c53630ac338524f951811b342260","Ссылка")</f>
        <v>Ссылка</v>
      </c>
      <c r="I1296" s="5" t="s">
        <v>1319</v>
      </c>
    </row>
    <row r="1297" spans="1:9" s="4" customFormat="1" ht="38.1" customHeight="1" outlineLevel="1" x14ac:dyDescent="0.2">
      <c r="A1297" s="5" t="s">
        <v>340</v>
      </c>
      <c r="B1297" s="5" t="s">
        <v>341</v>
      </c>
      <c r="C1297" s="5" t="s">
        <v>1320</v>
      </c>
      <c r="D1297" s="5" t="s">
        <v>12</v>
      </c>
      <c r="E1297" s="5" t="s">
        <v>13</v>
      </c>
      <c r="F1297" s="5" t="s">
        <v>14</v>
      </c>
      <c r="G1297" s="6">
        <v>44100</v>
      </c>
      <c r="H1297" s="1290" t="str">
        <f>HYPERLINK("https://adv-map.ru/place/?LINK=87f1c07e2be4a702089641016280d8f0","Ссылка")</f>
        <v>Ссылка</v>
      </c>
      <c r="I1297" s="5" t="s">
        <v>1321</v>
      </c>
    </row>
    <row r="1298" spans="1:9" s="4" customFormat="1" ht="38.1" customHeight="1" outlineLevel="1" x14ac:dyDescent="0.2">
      <c r="A1298" s="5" t="s">
        <v>340</v>
      </c>
      <c r="B1298" s="5" t="s">
        <v>341</v>
      </c>
      <c r="C1298" s="5" t="s">
        <v>1320</v>
      </c>
      <c r="D1298" s="5" t="s">
        <v>12</v>
      </c>
      <c r="E1298" s="5" t="s">
        <v>13</v>
      </c>
      <c r="F1298" s="5" t="s">
        <v>16</v>
      </c>
      <c r="G1298" s="6">
        <v>31500</v>
      </c>
      <c r="H1298" s="1291" t="str">
        <f>HYPERLINK("https://adv-map.ru/place/?LINK=4842f4b5f9314c564173a68752adbb7b","Ссылка")</f>
        <v>Ссылка</v>
      </c>
      <c r="I1298" s="5" t="s">
        <v>1321</v>
      </c>
    </row>
    <row r="1299" spans="1:9" s="4" customFormat="1" ht="38.1" customHeight="1" outlineLevel="1" x14ac:dyDescent="0.2">
      <c r="A1299" s="5" t="s">
        <v>340</v>
      </c>
      <c r="B1299" s="5" t="s">
        <v>341</v>
      </c>
      <c r="C1299" s="5" t="s">
        <v>1322</v>
      </c>
      <c r="D1299" s="5" t="s">
        <v>12</v>
      </c>
      <c r="E1299" s="5" t="s">
        <v>13</v>
      </c>
      <c r="F1299" s="5" t="s">
        <v>14</v>
      </c>
      <c r="G1299" s="6">
        <v>44100</v>
      </c>
      <c r="H1299" s="1292" t="str">
        <f>HYPERLINK("https://adv-map.ru/place/?LINK=d0452bdbfdc56895bf2d465bbc3d7140","Ссылка")</f>
        <v>Ссылка</v>
      </c>
      <c r="I1299" s="5" t="s">
        <v>1323</v>
      </c>
    </row>
    <row r="1300" spans="1:9" s="4" customFormat="1" ht="38.1" customHeight="1" outlineLevel="1" x14ac:dyDescent="0.2">
      <c r="A1300" s="5" t="s">
        <v>340</v>
      </c>
      <c r="B1300" s="5" t="s">
        <v>341</v>
      </c>
      <c r="C1300" s="5" t="s">
        <v>1322</v>
      </c>
      <c r="D1300" s="5" t="s">
        <v>12</v>
      </c>
      <c r="E1300" s="5" t="s">
        <v>13</v>
      </c>
      <c r="F1300" s="5" t="s">
        <v>16</v>
      </c>
      <c r="G1300" s="6">
        <v>31500</v>
      </c>
      <c r="H1300" s="1293" t="str">
        <f>HYPERLINK("https://adv-map.ru/place/?LINK=6043b7f2275c59280a35bad67bff9c4b","Ссылка")</f>
        <v>Ссылка</v>
      </c>
      <c r="I1300" s="5" t="s">
        <v>1323</v>
      </c>
    </row>
    <row r="1301" spans="1:9" s="4" customFormat="1" ht="38.1" customHeight="1" outlineLevel="1" x14ac:dyDescent="0.2">
      <c r="A1301" s="5" t="s">
        <v>340</v>
      </c>
      <c r="B1301" s="5" t="s">
        <v>341</v>
      </c>
      <c r="C1301" s="5" t="s">
        <v>1324</v>
      </c>
      <c r="D1301" s="5" t="s">
        <v>12</v>
      </c>
      <c r="E1301" s="5" t="s">
        <v>13</v>
      </c>
      <c r="F1301" s="5" t="s">
        <v>14</v>
      </c>
      <c r="G1301" s="6">
        <v>44100</v>
      </c>
      <c r="H1301" s="1294" t="str">
        <f>HYPERLINK("https://adv-map.ru/place/?LINK=27c4da58e651063dcf772e15bebcb056","Ссылка")</f>
        <v>Ссылка</v>
      </c>
      <c r="I1301" s="5" t="s">
        <v>1325</v>
      </c>
    </row>
    <row r="1302" spans="1:9" s="4" customFormat="1" ht="38.1" customHeight="1" outlineLevel="1" x14ac:dyDescent="0.2">
      <c r="A1302" s="5" t="s">
        <v>340</v>
      </c>
      <c r="B1302" s="5" t="s">
        <v>341</v>
      </c>
      <c r="C1302" s="5" t="s">
        <v>1324</v>
      </c>
      <c r="D1302" s="5" t="s">
        <v>12</v>
      </c>
      <c r="E1302" s="5" t="s">
        <v>13</v>
      </c>
      <c r="F1302" s="5" t="s">
        <v>16</v>
      </c>
      <c r="G1302" s="6">
        <v>31500</v>
      </c>
      <c r="H1302" s="1295" t="str">
        <f>HYPERLINK("https://adv-map.ru/place/?LINK=b4999b0101d54b043c22b1eaebba5c0e","Ссылка")</f>
        <v>Ссылка</v>
      </c>
      <c r="I1302" s="5" t="s">
        <v>1325</v>
      </c>
    </row>
    <row r="1303" spans="1:9" s="4" customFormat="1" ht="38.1" customHeight="1" outlineLevel="1" x14ac:dyDescent="0.2">
      <c r="A1303" s="5" t="s">
        <v>340</v>
      </c>
      <c r="B1303" s="5" t="s">
        <v>341</v>
      </c>
      <c r="C1303" s="5" t="s">
        <v>1326</v>
      </c>
      <c r="D1303" s="5" t="s">
        <v>12</v>
      </c>
      <c r="E1303" s="5" t="s">
        <v>13</v>
      </c>
      <c r="F1303" s="5" t="s">
        <v>14</v>
      </c>
      <c r="G1303" s="6">
        <v>47250</v>
      </c>
      <c r="H1303" s="1296" t="str">
        <f>HYPERLINK("https://adv-map.ru/place/?LINK=63b3f9e50308e7f14f77b2e14eb19da7","Ссылка")</f>
        <v>Ссылка</v>
      </c>
      <c r="I1303" s="5" t="s">
        <v>1327</v>
      </c>
    </row>
    <row r="1304" spans="1:9" s="4" customFormat="1" ht="38.1" customHeight="1" outlineLevel="1" x14ac:dyDescent="0.2">
      <c r="A1304" s="5" t="s">
        <v>340</v>
      </c>
      <c r="B1304" s="5" t="s">
        <v>341</v>
      </c>
      <c r="C1304" s="5" t="s">
        <v>1326</v>
      </c>
      <c r="D1304" s="5" t="s">
        <v>12</v>
      </c>
      <c r="E1304" s="5" t="s">
        <v>13</v>
      </c>
      <c r="F1304" s="5" t="s">
        <v>16</v>
      </c>
      <c r="G1304" s="6">
        <v>31500</v>
      </c>
      <c r="H1304" s="1297" t="str">
        <f>HYPERLINK("https://adv-map.ru/place/?LINK=39814783614558a5f17fca2854ee7fd7","Ссылка")</f>
        <v>Ссылка</v>
      </c>
      <c r="I1304" s="5" t="s">
        <v>1327</v>
      </c>
    </row>
    <row r="1305" spans="1:9" s="4" customFormat="1" ht="38.1" customHeight="1" outlineLevel="1" x14ac:dyDescent="0.2">
      <c r="A1305" s="5" t="s">
        <v>340</v>
      </c>
      <c r="B1305" s="5" t="s">
        <v>341</v>
      </c>
      <c r="C1305" s="5" t="s">
        <v>1328</v>
      </c>
      <c r="D1305" s="5" t="s">
        <v>12</v>
      </c>
      <c r="E1305" s="5" t="s">
        <v>13</v>
      </c>
      <c r="F1305" s="5" t="s">
        <v>14</v>
      </c>
      <c r="G1305" s="6">
        <v>47250</v>
      </c>
      <c r="H1305" s="1298" t="str">
        <f>HYPERLINK("https://adv-map.ru/place/?LINK=d934d0f2ba5512528ee7c9ad3e5a015a","Ссылка")</f>
        <v>Ссылка</v>
      </c>
      <c r="I1305" s="5" t="s">
        <v>1329</v>
      </c>
    </row>
    <row r="1306" spans="1:9" s="4" customFormat="1" ht="38.1" customHeight="1" outlineLevel="1" x14ac:dyDescent="0.2">
      <c r="A1306" s="5" t="s">
        <v>340</v>
      </c>
      <c r="B1306" s="5" t="s">
        <v>341</v>
      </c>
      <c r="C1306" s="5" t="s">
        <v>1330</v>
      </c>
      <c r="D1306" s="5" t="s">
        <v>12</v>
      </c>
      <c r="E1306" s="5" t="s">
        <v>13</v>
      </c>
      <c r="F1306" s="5" t="s">
        <v>16</v>
      </c>
      <c r="G1306" s="6">
        <v>31500</v>
      </c>
      <c r="H1306" s="1299" t="str">
        <f>HYPERLINK("https://adv-map.ru/place/?LINK=cab735dfd5b0970624e80850b2d943ba","Ссылка")</f>
        <v>Ссылка</v>
      </c>
      <c r="I1306" s="5" t="s">
        <v>1329</v>
      </c>
    </row>
    <row r="1307" spans="1:9" s="4" customFormat="1" ht="38.1" customHeight="1" outlineLevel="1" x14ac:dyDescent="0.2">
      <c r="A1307" s="5" t="s">
        <v>340</v>
      </c>
      <c r="B1307" s="5" t="s">
        <v>341</v>
      </c>
      <c r="C1307" s="5" t="s">
        <v>1331</v>
      </c>
      <c r="D1307" s="5" t="s">
        <v>12</v>
      </c>
      <c r="E1307" s="5" t="s">
        <v>13</v>
      </c>
      <c r="F1307" s="5" t="s">
        <v>14</v>
      </c>
      <c r="G1307" s="6">
        <v>47250</v>
      </c>
      <c r="H1307" s="1300" t="str">
        <f>HYPERLINK("https://adv-map.ru/place/?LINK=a862512e600e907c248b9e5af29ab14f","Ссылка")</f>
        <v>Ссылка</v>
      </c>
      <c r="I1307" s="5" t="s">
        <v>1332</v>
      </c>
    </row>
    <row r="1308" spans="1:9" s="4" customFormat="1" ht="38.1" customHeight="1" outlineLevel="1" x14ac:dyDescent="0.2">
      <c r="A1308" s="5" t="s">
        <v>340</v>
      </c>
      <c r="B1308" s="5" t="s">
        <v>341</v>
      </c>
      <c r="C1308" s="5" t="s">
        <v>1331</v>
      </c>
      <c r="D1308" s="5" t="s">
        <v>12</v>
      </c>
      <c r="E1308" s="5" t="s">
        <v>13</v>
      </c>
      <c r="F1308" s="5" t="s">
        <v>16</v>
      </c>
      <c r="G1308" s="6">
        <v>31500</v>
      </c>
      <c r="H1308" s="1301" t="str">
        <f>HYPERLINK("https://adv-map.ru/place/?LINK=44ea13e19d46b4f4b81168869906b529","Ссылка")</f>
        <v>Ссылка</v>
      </c>
      <c r="I1308" s="5" t="s">
        <v>1332</v>
      </c>
    </row>
    <row r="1309" spans="1:9" s="4" customFormat="1" ht="38.1" customHeight="1" outlineLevel="1" x14ac:dyDescent="0.2">
      <c r="A1309" s="5" t="s">
        <v>340</v>
      </c>
      <c r="B1309" s="5" t="s">
        <v>341</v>
      </c>
      <c r="C1309" s="5" t="s">
        <v>1333</v>
      </c>
      <c r="D1309" s="5" t="s">
        <v>12</v>
      </c>
      <c r="E1309" s="5" t="s">
        <v>13</v>
      </c>
      <c r="F1309" s="5" t="s">
        <v>14</v>
      </c>
      <c r="G1309" s="6">
        <v>47250</v>
      </c>
      <c r="H1309" s="1302" t="str">
        <f>HYPERLINK("https://adv-map.ru/place/?LINK=e367e3e1468eed29e39096cfb66ea19e","Ссылка")</f>
        <v>Ссылка</v>
      </c>
      <c r="I1309" s="5" t="s">
        <v>1334</v>
      </c>
    </row>
    <row r="1310" spans="1:9" s="4" customFormat="1" ht="38.1" customHeight="1" outlineLevel="1" x14ac:dyDescent="0.2">
      <c r="A1310" s="5" t="s">
        <v>340</v>
      </c>
      <c r="B1310" s="5" t="s">
        <v>341</v>
      </c>
      <c r="C1310" s="5" t="s">
        <v>1335</v>
      </c>
      <c r="D1310" s="5" t="s">
        <v>12</v>
      </c>
      <c r="E1310" s="5" t="s">
        <v>13</v>
      </c>
      <c r="F1310" s="5" t="s">
        <v>16</v>
      </c>
      <c r="G1310" s="6">
        <v>31500</v>
      </c>
      <c r="H1310" s="1303" t="str">
        <f>HYPERLINK("https://adv-map.ru/place/?LINK=1c0faacf97ea8192aa94f7f348a85b74","Ссылка")</f>
        <v>Ссылка</v>
      </c>
      <c r="I1310" s="5" t="s">
        <v>1334</v>
      </c>
    </row>
    <row r="1311" spans="1:9" s="4" customFormat="1" ht="51" customHeight="1" outlineLevel="1" x14ac:dyDescent="0.2">
      <c r="A1311" s="5" t="s">
        <v>340</v>
      </c>
      <c r="B1311" s="5" t="s">
        <v>546</v>
      </c>
      <c r="C1311" s="5" t="s">
        <v>1336</v>
      </c>
      <c r="D1311" s="5" t="s">
        <v>49</v>
      </c>
      <c r="E1311" s="5" t="s">
        <v>13</v>
      </c>
      <c r="F1311" s="5" t="s">
        <v>28</v>
      </c>
      <c r="G1311" s="6">
        <v>47250</v>
      </c>
      <c r="H1311" s="1304" t="str">
        <f>HYPERLINK("https://adv-map.ru/place/?LINK=0214a6d19eee2154709423bdeeee5490","Ссылка")</f>
        <v>Ссылка</v>
      </c>
      <c r="I1311" s="5" t="s">
        <v>1337</v>
      </c>
    </row>
    <row r="1312" spans="1:9" s="4" customFormat="1" ht="38.1" customHeight="1" outlineLevel="1" x14ac:dyDescent="0.2">
      <c r="A1312" s="5" t="s">
        <v>340</v>
      </c>
      <c r="B1312" s="5" t="s">
        <v>546</v>
      </c>
      <c r="C1312" s="5" t="s">
        <v>1336</v>
      </c>
      <c r="D1312" s="5" t="s">
        <v>49</v>
      </c>
      <c r="E1312" s="5" t="s">
        <v>13</v>
      </c>
      <c r="F1312" s="5" t="s">
        <v>30</v>
      </c>
      <c r="G1312" s="6">
        <v>47250</v>
      </c>
      <c r="H1312" s="1305" t="str">
        <f>HYPERLINK("https://adv-map.ru/place/?LINK=e407f32e5307803b58ff7d52a0f31a0b","Ссылка")</f>
        <v>Ссылка</v>
      </c>
      <c r="I1312" s="5" t="s">
        <v>1337</v>
      </c>
    </row>
    <row r="1313" spans="1:9" s="4" customFormat="1" ht="38.1" customHeight="1" outlineLevel="1" x14ac:dyDescent="0.2">
      <c r="A1313" s="5" t="s">
        <v>340</v>
      </c>
      <c r="B1313" s="5" t="s">
        <v>546</v>
      </c>
      <c r="C1313" s="5" t="s">
        <v>1336</v>
      </c>
      <c r="D1313" s="5" t="s">
        <v>49</v>
      </c>
      <c r="E1313" s="5" t="s">
        <v>13</v>
      </c>
      <c r="F1313" s="5" t="s">
        <v>31</v>
      </c>
      <c r="G1313" s="6">
        <v>47250</v>
      </c>
      <c r="H1313" s="1306" t="str">
        <f>HYPERLINK("https://adv-map.ru/place/?LINK=8dfc784b9c50fe87f5fb08cdc2a4aa2e","Ссылка")</f>
        <v>Ссылка</v>
      </c>
      <c r="I1313" s="5" t="s">
        <v>1337</v>
      </c>
    </row>
    <row r="1314" spans="1:9" s="4" customFormat="1" ht="38.1" customHeight="1" outlineLevel="1" x14ac:dyDescent="0.2">
      <c r="A1314" s="5" t="s">
        <v>340</v>
      </c>
      <c r="B1314" s="5" t="s">
        <v>546</v>
      </c>
      <c r="C1314" s="5" t="s">
        <v>1336</v>
      </c>
      <c r="D1314" s="5" t="s">
        <v>12</v>
      </c>
      <c r="E1314" s="5" t="s">
        <v>13</v>
      </c>
      <c r="F1314" s="5" t="s">
        <v>16</v>
      </c>
      <c r="G1314" s="6">
        <v>34000</v>
      </c>
      <c r="H1314" s="1307" t="str">
        <f>HYPERLINK("https://adv-map.ru/place/?LINK=8d1450c743af2a9cf81382a7f4da7837","Ссылка")</f>
        <v>Ссылка</v>
      </c>
      <c r="I1314" s="5" t="s">
        <v>1338</v>
      </c>
    </row>
    <row r="1315" spans="1:9" s="4" customFormat="1" ht="38.1" customHeight="1" outlineLevel="1" x14ac:dyDescent="0.2">
      <c r="A1315" s="5" t="s">
        <v>340</v>
      </c>
      <c r="B1315" s="5" t="s">
        <v>546</v>
      </c>
      <c r="C1315" s="5" t="s">
        <v>1339</v>
      </c>
      <c r="D1315" s="5" t="s">
        <v>12</v>
      </c>
      <c r="E1315" s="5" t="s">
        <v>13</v>
      </c>
      <c r="F1315" s="5" t="s">
        <v>14</v>
      </c>
      <c r="G1315" s="6">
        <v>31500</v>
      </c>
      <c r="H1315" s="1308" t="str">
        <f>HYPERLINK("https://adv-map.ru/place/?LINK=1ec66e5b95f4d5b52d3fac05a90cb5f2","Ссылка")</f>
        <v>Ссылка</v>
      </c>
      <c r="I1315" s="5" t="s">
        <v>1340</v>
      </c>
    </row>
    <row r="1316" spans="1:9" s="4" customFormat="1" ht="38.1" customHeight="1" outlineLevel="1" x14ac:dyDescent="0.2">
      <c r="A1316" s="5" t="s">
        <v>340</v>
      </c>
      <c r="B1316" s="5" t="s">
        <v>546</v>
      </c>
      <c r="C1316" s="5" t="s">
        <v>1341</v>
      </c>
      <c r="D1316" s="5" t="s">
        <v>12</v>
      </c>
      <c r="E1316" s="5" t="s">
        <v>13</v>
      </c>
      <c r="F1316" s="5" t="s">
        <v>16</v>
      </c>
      <c r="G1316" s="6">
        <v>25200</v>
      </c>
      <c r="H1316" s="1309" t="str">
        <f>HYPERLINK("https://adv-map.ru/place/?LINK=b0650ce7c53cefdad744e008747dd99f","Ссылка")</f>
        <v>Ссылка</v>
      </c>
      <c r="I1316" s="5" t="s">
        <v>1340</v>
      </c>
    </row>
    <row r="1317" spans="1:9" s="4" customFormat="1" ht="38.1" customHeight="1" outlineLevel="1" x14ac:dyDescent="0.2">
      <c r="A1317" s="5" t="s">
        <v>340</v>
      </c>
      <c r="B1317" s="5" t="s">
        <v>546</v>
      </c>
      <c r="C1317" s="5" t="s">
        <v>1342</v>
      </c>
      <c r="D1317" s="5" t="s">
        <v>12</v>
      </c>
      <c r="E1317" s="5" t="s">
        <v>13</v>
      </c>
      <c r="F1317" s="5" t="s">
        <v>14</v>
      </c>
      <c r="G1317" s="6">
        <v>31500</v>
      </c>
      <c r="H1317" s="1310" t="str">
        <f>HYPERLINK("https://adv-map.ru/place/?LINK=e2168a0e5644087cf0f2bbb84d992e02","Ссылка")</f>
        <v>Ссылка</v>
      </c>
      <c r="I1317" s="5" t="s">
        <v>1343</v>
      </c>
    </row>
    <row r="1318" spans="1:9" s="4" customFormat="1" ht="38.1" customHeight="1" outlineLevel="1" x14ac:dyDescent="0.2">
      <c r="A1318" s="5" t="s">
        <v>340</v>
      </c>
      <c r="B1318" s="5" t="s">
        <v>546</v>
      </c>
      <c r="C1318" s="5" t="s">
        <v>1342</v>
      </c>
      <c r="D1318" s="5" t="s">
        <v>12</v>
      </c>
      <c r="E1318" s="5" t="s">
        <v>13</v>
      </c>
      <c r="F1318" s="5" t="s">
        <v>16</v>
      </c>
      <c r="G1318" s="6">
        <v>25200</v>
      </c>
      <c r="H1318" s="1311" t="str">
        <f>HYPERLINK("https://adv-map.ru/place/?LINK=869b0a7562f85bad028d94989cb716b9","Ссылка")</f>
        <v>Ссылка</v>
      </c>
      <c r="I1318" s="5" t="s">
        <v>1343</v>
      </c>
    </row>
    <row r="1319" spans="1:9" s="4" customFormat="1" ht="38.1" customHeight="1" outlineLevel="1" x14ac:dyDescent="0.2">
      <c r="A1319" s="5" t="s">
        <v>340</v>
      </c>
      <c r="B1319" s="5" t="s">
        <v>546</v>
      </c>
      <c r="C1319" s="5" t="s">
        <v>1344</v>
      </c>
      <c r="D1319" s="5" t="s">
        <v>12</v>
      </c>
      <c r="E1319" s="5" t="s">
        <v>13</v>
      </c>
      <c r="F1319" s="5" t="s">
        <v>14</v>
      </c>
      <c r="G1319" s="6">
        <v>31500</v>
      </c>
      <c r="H1319" s="1312" t="str">
        <f>HYPERLINK("https://adv-map.ru/place/?LINK=87a7739056a620c02e86d55bb8599c6c","Ссылка")</f>
        <v>Ссылка</v>
      </c>
      <c r="I1319" s="5" t="s">
        <v>1345</v>
      </c>
    </row>
    <row r="1320" spans="1:9" s="4" customFormat="1" ht="38.1" customHeight="1" outlineLevel="1" x14ac:dyDescent="0.2">
      <c r="A1320" s="5" t="s">
        <v>340</v>
      </c>
      <c r="B1320" s="5" t="s">
        <v>546</v>
      </c>
      <c r="C1320" s="5" t="s">
        <v>1344</v>
      </c>
      <c r="D1320" s="5" t="s">
        <v>12</v>
      </c>
      <c r="E1320" s="5" t="s">
        <v>13</v>
      </c>
      <c r="F1320" s="5" t="s">
        <v>16</v>
      </c>
      <c r="G1320" s="6">
        <v>25200</v>
      </c>
      <c r="H1320" s="1313" t="str">
        <f>HYPERLINK("https://adv-map.ru/place/?LINK=4c5eb5f8b9faecfc62ef2191bc26277b","Ссылка")</f>
        <v>Ссылка</v>
      </c>
      <c r="I1320" s="5" t="s">
        <v>1345</v>
      </c>
    </row>
    <row r="1321" spans="1:9" s="4" customFormat="1" ht="38.1" customHeight="1" outlineLevel="1" x14ac:dyDescent="0.2">
      <c r="A1321" s="5" t="s">
        <v>340</v>
      </c>
      <c r="B1321" s="5" t="s">
        <v>546</v>
      </c>
      <c r="C1321" s="5" t="s">
        <v>1346</v>
      </c>
      <c r="D1321" s="5" t="s">
        <v>12</v>
      </c>
      <c r="E1321" s="5" t="s">
        <v>13</v>
      </c>
      <c r="F1321" s="5" t="s">
        <v>14</v>
      </c>
      <c r="G1321" s="6">
        <v>31500</v>
      </c>
      <c r="H1321" s="1314" t="str">
        <f>HYPERLINK("https://adv-map.ru/place/?LINK=1a2ade5582784b9685b374e6ac5ac213","Ссылка")</f>
        <v>Ссылка</v>
      </c>
      <c r="I1321" s="5" t="s">
        <v>1347</v>
      </c>
    </row>
    <row r="1322" spans="1:9" s="4" customFormat="1" ht="38.1" customHeight="1" outlineLevel="1" x14ac:dyDescent="0.2">
      <c r="A1322" s="5" t="s">
        <v>340</v>
      </c>
      <c r="B1322" s="5" t="s">
        <v>546</v>
      </c>
      <c r="C1322" s="5" t="s">
        <v>1346</v>
      </c>
      <c r="D1322" s="5" t="s">
        <v>12</v>
      </c>
      <c r="E1322" s="5" t="s">
        <v>13</v>
      </c>
      <c r="F1322" s="5" t="s">
        <v>16</v>
      </c>
      <c r="G1322" s="6">
        <v>25200</v>
      </c>
      <c r="H1322" s="1315" t="str">
        <f>HYPERLINK("https://adv-map.ru/place/?LINK=cc500331c79fbcfcce67463d233e4874","Ссылка")</f>
        <v>Ссылка</v>
      </c>
      <c r="I1322" s="5" t="s">
        <v>1347</v>
      </c>
    </row>
    <row r="1323" spans="1:9" s="4" customFormat="1" ht="38.1" customHeight="1" outlineLevel="1" x14ac:dyDescent="0.2">
      <c r="A1323" s="5" t="s">
        <v>340</v>
      </c>
      <c r="B1323" s="5" t="s">
        <v>546</v>
      </c>
      <c r="C1323" s="5" t="s">
        <v>1348</v>
      </c>
      <c r="D1323" s="5" t="s">
        <v>12</v>
      </c>
      <c r="E1323" s="5" t="s">
        <v>13</v>
      </c>
      <c r="F1323" s="5" t="s">
        <v>14</v>
      </c>
      <c r="G1323" s="6">
        <v>31500</v>
      </c>
      <c r="H1323" s="1316" t="str">
        <f>HYPERLINK("https://adv-map.ru/place/?LINK=a0f6faea3cedee10f48186d27d359d68","Ссылка")</f>
        <v>Ссылка</v>
      </c>
      <c r="I1323" s="5" t="s">
        <v>1349</v>
      </c>
    </row>
    <row r="1324" spans="1:9" s="4" customFormat="1" ht="38.1" customHeight="1" outlineLevel="1" x14ac:dyDescent="0.2">
      <c r="A1324" s="5" t="s">
        <v>340</v>
      </c>
      <c r="B1324" s="5" t="s">
        <v>546</v>
      </c>
      <c r="C1324" s="5" t="s">
        <v>1348</v>
      </c>
      <c r="D1324" s="5" t="s">
        <v>12</v>
      </c>
      <c r="E1324" s="5" t="s">
        <v>13</v>
      </c>
      <c r="F1324" s="5" t="s">
        <v>16</v>
      </c>
      <c r="G1324" s="6">
        <v>25200</v>
      </c>
      <c r="H1324" s="1317" t="str">
        <f>HYPERLINK("https://adv-map.ru/place/?LINK=fd2c62ac61d26c800ca0b1d16e988cea","Ссылка")</f>
        <v>Ссылка</v>
      </c>
      <c r="I1324" s="5" t="s">
        <v>1349</v>
      </c>
    </row>
    <row r="1325" spans="1:9" s="4" customFormat="1" ht="38.1" customHeight="1" outlineLevel="1" x14ac:dyDescent="0.2">
      <c r="A1325" s="5" t="s">
        <v>340</v>
      </c>
      <c r="B1325" s="5" t="s">
        <v>546</v>
      </c>
      <c r="C1325" s="5" t="s">
        <v>1350</v>
      </c>
      <c r="D1325" s="5" t="s">
        <v>12</v>
      </c>
      <c r="E1325" s="5" t="s">
        <v>13</v>
      </c>
      <c r="F1325" s="5" t="s">
        <v>14</v>
      </c>
      <c r="G1325" s="6">
        <v>31500</v>
      </c>
      <c r="H1325" s="1318" t="str">
        <f>HYPERLINK("https://adv-map.ru/place/?LINK=c2b74f5000d4287540d7383e21ca1bd6","Ссылка")</f>
        <v>Ссылка</v>
      </c>
      <c r="I1325" s="5" t="s">
        <v>1351</v>
      </c>
    </row>
    <row r="1326" spans="1:9" s="4" customFormat="1" ht="38.1" customHeight="1" outlineLevel="1" x14ac:dyDescent="0.2">
      <c r="A1326" s="5" t="s">
        <v>340</v>
      </c>
      <c r="B1326" s="5" t="s">
        <v>546</v>
      </c>
      <c r="C1326" s="5" t="s">
        <v>1350</v>
      </c>
      <c r="D1326" s="5" t="s">
        <v>12</v>
      </c>
      <c r="E1326" s="5" t="s">
        <v>13</v>
      </c>
      <c r="F1326" s="5" t="s">
        <v>16</v>
      </c>
      <c r="G1326" s="6">
        <v>25200</v>
      </c>
      <c r="H1326" s="1319" t="str">
        <f>HYPERLINK("https://adv-map.ru/place/?LINK=5f21d0d732cfbc04115009bed64b4663","Ссылка")</f>
        <v>Ссылка</v>
      </c>
      <c r="I1326" s="5" t="s">
        <v>1351</v>
      </c>
    </row>
    <row r="1327" spans="1:9" s="4" customFormat="1" ht="38.1" customHeight="1" outlineLevel="1" x14ac:dyDescent="0.2">
      <c r="A1327" s="5" t="s">
        <v>340</v>
      </c>
      <c r="B1327" s="5" t="s">
        <v>546</v>
      </c>
      <c r="C1327" s="5" t="s">
        <v>1352</v>
      </c>
      <c r="D1327" s="5" t="s">
        <v>12</v>
      </c>
      <c r="E1327" s="5" t="s">
        <v>13</v>
      </c>
      <c r="F1327" s="5" t="s">
        <v>14</v>
      </c>
      <c r="G1327" s="6">
        <v>31500</v>
      </c>
      <c r="H1327" s="1320" t="str">
        <f>HYPERLINK("https://adv-map.ru/place/?LINK=be9da552f3c0e328a2e65fca07dae50f","Ссылка")</f>
        <v>Ссылка</v>
      </c>
      <c r="I1327" s="5" t="s">
        <v>1353</v>
      </c>
    </row>
    <row r="1328" spans="1:9" s="4" customFormat="1" ht="38.1" customHeight="1" outlineLevel="1" x14ac:dyDescent="0.2">
      <c r="A1328" s="5" t="s">
        <v>340</v>
      </c>
      <c r="B1328" s="5" t="s">
        <v>546</v>
      </c>
      <c r="C1328" s="5" t="s">
        <v>1354</v>
      </c>
      <c r="D1328" s="5" t="s">
        <v>12</v>
      </c>
      <c r="E1328" s="5" t="s">
        <v>13</v>
      </c>
      <c r="F1328" s="5" t="s">
        <v>16</v>
      </c>
      <c r="G1328" s="6">
        <v>25200</v>
      </c>
      <c r="H1328" s="1321" t="str">
        <f>HYPERLINK("https://adv-map.ru/place/?LINK=48011e6a82cdbb1f7887a4338e009f5a","Ссылка")</f>
        <v>Ссылка</v>
      </c>
      <c r="I1328" s="5" t="s">
        <v>1353</v>
      </c>
    </row>
    <row r="1329" spans="1:9" s="4" customFormat="1" ht="51" customHeight="1" outlineLevel="1" x14ac:dyDescent="0.2">
      <c r="A1329" s="5" t="s">
        <v>340</v>
      </c>
      <c r="B1329" s="5" t="s">
        <v>652</v>
      </c>
      <c r="C1329" s="5" t="s">
        <v>1355</v>
      </c>
      <c r="D1329" s="5" t="s">
        <v>347</v>
      </c>
      <c r="E1329" s="5" t="s">
        <v>348</v>
      </c>
      <c r="F1329" s="5" t="s">
        <v>14</v>
      </c>
      <c r="G1329" s="6">
        <v>22680</v>
      </c>
      <c r="H1329" s="1322" t="str">
        <f>HYPERLINK("https://adv-map.ru/place/?LINK=653d0c69284297669225519692715243","Ссылка")</f>
        <v>Ссылка</v>
      </c>
      <c r="I1329" s="5" t="s">
        <v>1356</v>
      </c>
    </row>
    <row r="1330" spans="1:9" s="4" customFormat="1" ht="38.1" customHeight="1" outlineLevel="1" x14ac:dyDescent="0.2">
      <c r="A1330" s="5" t="s">
        <v>340</v>
      </c>
      <c r="B1330" s="5" t="s">
        <v>652</v>
      </c>
      <c r="C1330" s="5" t="s">
        <v>1355</v>
      </c>
      <c r="D1330" s="5" t="s">
        <v>347</v>
      </c>
      <c r="E1330" s="5" t="s">
        <v>348</v>
      </c>
      <c r="F1330" s="5" t="s">
        <v>16</v>
      </c>
      <c r="G1330" s="6">
        <v>17640</v>
      </c>
      <c r="H1330" s="1323" t="str">
        <f>HYPERLINK("https://adv-map.ru/place/?LINK=ad88e640b28b9e2e62e491ed8d06a51c","Ссылка")</f>
        <v>Ссылка</v>
      </c>
      <c r="I1330" s="5" t="s">
        <v>1356</v>
      </c>
    </row>
    <row r="1331" spans="1:9" s="4" customFormat="1" ht="38.1" customHeight="1" outlineLevel="1" x14ac:dyDescent="0.2">
      <c r="A1331" s="5" t="s">
        <v>340</v>
      </c>
      <c r="B1331" s="5" t="s">
        <v>652</v>
      </c>
      <c r="C1331" s="5" t="s">
        <v>1357</v>
      </c>
      <c r="D1331" s="5" t="s">
        <v>49</v>
      </c>
      <c r="E1331" s="5" t="s">
        <v>13</v>
      </c>
      <c r="F1331" s="5" t="s">
        <v>30</v>
      </c>
      <c r="G1331" s="6">
        <v>47250</v>
      </c>
      <c r="H1331" s="1324" t="str">
        <f>HYPERLINK("https://adv-map.ru/place/?LINK=893d43b1a88a05090027e97c85c5cd2e","Ссылка")</f>
        <v>Ссылка</v>
      </c>
      <c r="I1331" s="5" t="s">
        <v>1358</v>
      </c>
    </row>
    <row r="1332" spans="1:9" s="4" customFormat="1" ht="38.1" customHeight="1" outlineLevel="1" x14ac:dyDescent="0.2">
      <c r="A1332" s="5" t="s">
        <v>340</v>
      </c>
      <c r="B1332" s="5" t="s">
        <v>652</v>
      </c>
      <c r="C1332" s="5" t="s">
        <v>1359</v>
      </c>
      <c r="D1332" s="5" t="s">
        <v>49</v>
      </c>
      <c r="E1332" s="5" t="s">
        <v>13</v>
      </c>
      <c r="F1332" s="5" t="s">
        <v>28</v>
      </c>
      <c r="G1332" s="6">
        <v>47250</v>
      </c>
      <c r="H1332" s="1325" t="str">
        <f>HYPERLINK("https://adv-map.ru/place/?LINK=d812648f87d7f1021bcf3a2d74554d45","Ссылка")</f>
        <v>Ссылка</v>
      </c>
      <c r="I1332" s="5" t="s">
        <v>1358</v>
      </c>
    </row>
    <row r="1333" spans="1:9" s="4" customFormat="1" ht="38.1" customHeight="1" outlineLevel="1" x14ac:dyDescent="0.2">
      <c r="A1333" s="5" t="s">
        <v>340</v>
      </c>
      <c r="B1333" s="5" t="s">
        <v>652</v>
      </c>
      <c r="C1333" s="5" t="s">
        <v>1359</v>
      </c>
      <c r="D1333" s="5" t="s">
        <v>49</v>
      </c>
      <c r="E1333" s="5" t="s">
        <v>13</v>
      </c>
      <c r="F1333" s="5" t="s">
        <v>31</v>
      </c>
      <c r="G1333" s="6">
        <v>47250</v>
      </c>
      <c r="H1333" s="1326" t="str">
        <f>HYPERLINK("https://adv-map.ru/place/?LINK=7ca738f28ad7e7099e7fb2f1afcb1890","Ссылка")</f>
        <v>Ссылка</v>
      </c>
      <c r="I1333" s="5" t="s">
        <v>1358</v>
      </c>
    </row>
    <row r="1334" spans="1:9" s="4" customFormat="1" ht="38.1" customHeight="1" outlineLevel="1" x14ac:dyDescent="0.2">
      <c r="A1334" s="5" t="s">
        <v>340</v>
      </c>
      <c r="B1334" s="5" t="s">
        <v>652</v>
      </c>
      <c r="C1334" s="5" t="s">
        <v>1359</v>
      </c>
      <c r="D1334" s="5" t="s">
        <v>12</v>
      </c>
      <c r="E1334" s="5" t="s">
        <v>13</v>
      </c>
      <c r="F1334" s="5" t="s">
        <v>16</v>
      </c>
      <c r="G1334" s="6">
        <v>50400</v>
      </c>
      <c r="H1334" s="1327" t="str">
        <f>HYPERLINK("https://adv-map.ru/place/?LINK=b825288ecc62c1f811024ffc24f8e4a3","Ссылка")</f>
        <v>Ссылка</v>
      </c>
      <c r="I1334" s="5" t="s">
        <v>1360</v>
      </c>
    </row>
    <row r="1335" spans="1:9" s="4" customFormat="1" ht="38.1" customHeight="1" outlineLevel="1" x14ac:dyDescent="0.2">
      <c r="A1335" s="5" t="s">
        <v>340</v>
      </c>
      <c r="B1335" s="5" t="s">
        <v>652</v>
      </c>
      <c r="C1335" s="5" t="s">
        <v>1361</v>
      </c>
      <c r="D1335" s="5" t="s">
        <v>347</v>
      </c>
      <c r="E1335" s="5" t="s">
        <v>348</v>
      </c>
      <c r="F1335" s="5" t="s">
        <v>14</v>
      </c>
      <c r="G1335" s="6">
        <v>22680</v>
      </c>
      <c r="H1335" s="1328" t="str">
        <f>HYPERLINK("https://adv-map.ru/place/?LINK=343346d950ed1560959adf40955fe157","Ссылка")</f>
        <v>Ссылка</v>
      </c>
      <c r="I1335" s="5" t="s">
        <v>1362</v>
      </c>
    </row>
    <row r="1336" spans="1:9" s="4" customFormat="1" ht="38.1" customHeight="1" outlineLevel="1" x14ac:dyDescent="0.2">
      <c r="A1336" s="5" t="s">
        <v>340</v>
      </c>
      <c r="B1336" s="5" t="s">
        <v>652</v>
      </c>
      <c r="C1336" s="5" t="s">
        <v>1361</v>
      </c>
      <c r="D1336" s="5" t="s">
        <v>347</v>
      </c>
      <c r="E1336" s="5" t="s">
        <v>348</v>
      </c>
      <c r="F1336" s="5" t="s">
        <v>16</v>
      </c>
      <c r="G1336" s="6">
        <v>17640</v>
      </c>
      <c r="H1336" s="1329" t="str">
        <f>HYPERLINK("https://adv-map.ru/place/?LINK=26a2702134d0473fddca5c849ff3763e","Ссылка")</f>
        <v>Ссылка</v>
      </c>
      <c r="I1336" s="5" t="s">
        <v>1362</v>
      </c>
    </row>
    <row r="1337" spans="1:9" s="4" customFormat="1" ht="51" customHeight="1" outlineLevel="1" x14ac:dyDescent="0.2">
      <c r="A1337" s="5" t="s">
        <v>340</v>
      </c>
      <c r="B1337" s="5" t="s">
        <v>652</v>
      </c>
      <c r="C1337" s="5" t="s">
        <v>1363</v>
      </c>
      <c r="D1337" s="5" t="s">
        <v>49</v>
      </c>
      <c r="E1337" s="5" t="s">
        <v>13</v>
      </c>
      <c r="F1337" s="5" t="s">
        <v>28</v>
      </c>
      <c r="G1337" s="6">
        <v>47250</v>
      </c>
      <c r="H1337" s="1330" t="str">
        <f>HYPERLINK("https://adv-map.ru/place/?LINK=471ac59e9117071ad25a4262d55a97a1","Ссылка")</f>
        <v>Ссылка</v>
      </c>
      <c r="I1337" s="5" t="s">
        <v>1364</v>
      </c>
    </row>
    <row r="1338" spans="1:9" s="4" customFormat="1" ht="38.1" customHeight="1" outlineLevel="1" x14ac:dyDescent="0.2">
      <c r="A1338" s="5" t="s">
        <v>340</v>
      </c>
      <c r="B1338" s="5" t="s">
        <v>652</v>
      </c>
      <c r="C1338" s="5" t="s">
        <v>1363</v>
      </c>
      <c r="D1338" s="5" t="s">
        <v>49</v>
      </c>
      <c r="E1338" s="5" t="s">
        <v>13</v>
      </c>
      <c r="F1338" s="5" t="s">
        <v>30</v>
      </c>
      <c r="G1338" s="6">
        <v>47250</v>
      </c>
      <c r="H1338" s="1331" t="str">
        <f>HYPERLINK("https://adv-map.ru/place/?LINK=302f46dbb9e6a5fca03216e27b9b63f2","Ссылка")</f>
        <v>Ссылка</v>
      </c>
      <c r="I1338" s="5" t="s">
        <v>1365</v>
      </c>
    </row>
    <row r="1339" spans="1:9" s="4" customFormat="1" ht="38.1" customHeight="1" outlineLevel="1" x14ac:dyDescent="0.2">
      <c r="A1339" s="5" t="s">
        <v>340</v>
      </c>
      <c r="B1339" s="5" t="s">
        <v>652</v>
      </c>
      <c r="C1339" s="5" t="s">
        <v>1363</v>
      </c>
      <c r="D1339" s="5" t="s">
        <v>49</v>
      </c>
      <c r="E1339" s="5" t="s">
        <v>13</v>
      </c>
      <c r="F1339" s="5" t="s">
        <v>31</v>
      </c>
      <c r="G1339" s="6">
        <v>47250</v>
      </c>
      <c r="H1339" s="1332" t="str">
        <f>HYPERLINK("https://adv-map.ru/place/?LINK=a703c5571c055485f19cc082ed571c44","Ссылка")</f>
        <v>Ссылка</v>
      </c>
      <c r="I1339" s="5" t="s">
        <v>1365</v>
      </c>
    </row>
    <row r="1340" spans="1:9" s="4" customFormat="1" ht="51" customHeight="1" outlineLevel="1" x14ac:dyDescent="0.2">
      <c r="A1340" s="5" t="s">
        <v>340</v>
      </c>
      <c r="B1340" s="5" t="s">
        <v>652</v>
      </c>
      <c r="C1340" s="5" t="s">
        <v>1363</v>
      </c>
      <c r="D1340" s="5" t="s">
        <v>49</v>
      </c>
      <c r="E1340" s="5" t="s">
        <v>13</v>
      </c>
      <c r="F1340" s="5" t="s">
        <v>33</v>
      </c>
      <c r="G1340" s="6">
        <v>44100</v>
      </c>
      <c r="H1340" s="1333" t="str">
        <f>HYPERLINK("https://adv-map.ru/place/?LINK=e99018567315a34480b7b037471bd043","Ссылка")</f>
        <v>Ссылка</v>
      </c>
      <c r="I1340" s="5" t="s">
        <v>1364</v>
      </c>
    </row>
    <row r="1341" spans="1:9" s="4" customFormat="1" ht="38.1" customHeight="1" outlineLevel="1" x14ac:dyDescent="0.2">
      <c r="A1341" s="5" t="s">
        <v>340</v>
      </c>
      <c r="B1341" s="5" t="s">
        <v>652</v>
      </c>
      <c r="C1341" s="5" t="s">
        <v>1363</v>
      </c>
      <c r="D1341" s="5" t="s">
        <v>49</v>
      </c>
      <c r="E1341" s="5" t="s">
        <v>13</v>
      </c>
      <c r="F1341" s="5" t="s">
        <v>34</v>
      </c>
      <c r="G1341" s="6">
        <v>44100</v>
      </c>
      <c r="H1341" s="1334" t="str">
        <f>HYPERLINK("https://adv-map.ru/place/?LINK=ddd7e411e3c4cdecba705706ae18542f","Ссылка")</f>
        <v>Ссылка</v>
      </c>
      <c r="I1341" s="5" t="s">
        <v>1365</v>
      </c>
    </row>
    <row r="1342" spans="1:9" s="4" customFormat="1" ht="38.1" customHeight="1" outlineLevel="1" x14ac:dyDescent="0.2">
      <c r="A1342" s="5" t="s">
        <v>340</v>
      </c>
      <c r="B1342" s="5" t="s">
        <v>652</v>
      </c>
      <c r="C1342" s="5" t="s">
        <v>1363</v>
      </c>
      <c r="D1342" s="5" t="s">
        <v>49</v>
      </c>
      <c r="E1342" s="5" t="s">
        <v>13</v>
      </c>
      <c r="F1342" s="5" t="s">
        <v>35</v>
      </c>
      <c r="G1342" s="6">
        <v>44100</v>
      </c>
      <c r="H1342" s="1335" t="str">
        <f>HYPERLINK("https://adv-map.ru/place/?LINK=2df470f9c67b6e3eeb94633e28d9c4f8","Ссылка")</f>
        <v>Ссылка</v>
      </c>
      <c r="I1342" s="5" t="s">
        <v>1365</v>
      </c>
    </row>
    <row r="1343" spans="1:9" s="4" customFormat="1" ht="38.1" customHeight="1" outlineLevel="1" x14ac:dyDescent="0.2">
      <c r="A1343" s="5" t="s">
        <v>340</v>
      </c>
      <c r="B1343" s="5" t="s">
        <v>134</v>
      </c>
      <c r="C1343" s="5" t="s">
        <v>1366</v>
      </c>
      <c r="D1343" s="5" t="s">
        <v>396</v>
      </c>
      <c r="E1343" s="5" t="s">
        <v>397</v>
      </c>
      <c r="F1343" s="5" t="s">
        <v>28</v>
      </c>
      <c r="G1343" s="6">
        <v>35280</v>
      </c>
      <c r="H1343" s="1336" t="str">
        <f>HYPERLINK("https://adv-map.ru/place/?LINK=b47dfaf0d2eb706b9d30a10cf3b94dcd","Ссылка")</f>
        <v>Ссылка</v>
      </c>
      <c r="I1343" s="5" t="s">
        <v>1367</v>
      </c>
    </row>
    <row r="1344" spans="1:9" s="4" customFormat="1" ht="38.1" customHeight="1" outlineLevel="1" x14ac:dyDescent="0.2">
      <c r="A1344" s="5" t="s">
        <v>340</v>
      </c>
      <c r="B1344" s="5" t="s">
        <v>134</v>
      </c>
      <c r="C1344" s="5" t="s">
        <v>1366</v>
      </c>
      <c r="D1344" s="5" t="s">
        <v>396</v>
      </c>
      <c r="E1344" s="5" t="s">
        <v>397</v>
      </c>
      <c r="F1344" s="5" t="s">
        <v>30</v>
      </c>
      <c r="G1344" s="6">
        <v>30240</v>
      </c>
      <c r="H1344" s="1337" t="str">
        <f>HYPERLINK("https://adv-map.ru/place/?LINK=117748be74d300c29eaad96812774d34","Ссылка")</f>
        <v>Ссылка</v>
      </c>
      <c r="I1344" s="5" t="s">
        <v>1367</v>
      </c>
    </row>
    <row r="1345" spans="1:9" s="4" customFormat="1" ht="38.1" customHeight="1" outlineLevel="1" x14ac:dyDescent="0.2">
      <c r="A1345" s="5" t="s">
        <v>340</v>
      </c>
      <c r="B1345" s="5" t="s">
        <v>134</v>
      </c>
      <c r="C1345" s="5" t="s">
        <v>1366</v>
      </c>
      <c r="D1345" s="5" t="s">
        <v>396</v>
      </c>
      <c r="E1345" s="5" t="s">
        <v>397</v>
      </c>
      <c r="F1345" s="5" t="s">
        <v>31</v>
      </c>
      <c r="G1345" s="6">
        <v>20160</v>
      </c>
      <c r="H1345" s="1338" t="str">
        <f>HYPERLINK("https://adv-map.ru/place/?LINK=63ae521904299f0957052ec3ab14af23","Ссылка")</f>
        <v>Ссылка</v>
      </c>
      <c r="I1345" s="5" t="s">
        <v>1367</v>
      </c>
    </row>
    <row r="1346" spans="1:9" s="4" customFormat="1" ht="38.1" customHeight="1" outlineLevel="1" x14ac:dyDescent="0.2">
      <c r="A1346" s="5" t="s">
        <v>340</v>
      </c>
      <c r="B1346" s="5" t="s">
        <v>134</v>
      </c>
      <c r="C1346" s="5" t="s">
        <v>1368</v>
      </c>
      <c r="D1346" s="5" t="s">
        <v>347</v>
      </c>
      <c r="E1346" s="5" t="s">
        <v>348</v>
      </c>
      <c r="F1346" s="5" t="s">
        <v>14</v>
      </c>
      <c r="G1346" s="6">
        <v>25200</v>
      </c>
      <c r="H1346" s="1339" t="str">
        <f>HYPERLINK("https://adv-map.ru/place/?LINK=a886fc2873264ee160b24a9b28ebefdb","Ссылка")</f>
        <v>Ссылка</v>
      </c>
      <c r="I1346" s="5" t="s">
        <v>1369</v>
      </c>
    </row>
    <row r="1347" spans="1:9" s="4" customFormat="1" ht="38.1" customHeight="1" outlineLevel="1" x14ac:dyDescent="0.2">
      <c r="A1347" s="5" t="s">
        <v>340</v>
      </c>
      <c r="B1347" s="5" t="s">
        <v>134</v>
      </c>
      <c r="C1347" s="5" t="s">
        <v>1368</v>
      </c>
      <c r="D1347" s="5" t="s">
        <v>347</v>
      </c>
      <c r="E1347" s="5" t="s">
        <v>348</v>
      </c>
      <c r="F1347" s="5" t="s">
        <v>16</v>
      </c>
      <c r="G1347" s="6">
        <v>22680</v>
      </c>
      <c r="H1347" s="1340" t="str">
        <f>HYPERLINK("https://adv-map.ru/place/?LINK=18bf037dc8c1dbe7c28a6f24823fbaf0","Ссылка")</f>
        <v>Ссылка</v>
      </c>
      <c r="I1347" s="5" t="s">
        <v>1369</v>
      </c>
    </row>
    <row r="1348" spans="1:9" s="4" customFormat="1" ht="38.1" customHeight="1" outlineLevel="1" x14ac:dyDescent="0.2">
      <c r="A1348" s="5" t="s">
        <v>340</v>
      </c>
      <c r="B1348" s="5" t="s">
        <v>134</v>
      </c>
      <c r="C1348" s="5" t="s">
        <v>1370</v>
      </c>
      <c r="D1348" s="5" t="s">
        <v>396</v>
      </c>
      <c r="E1348" s="5" t="s">
        <v>397</v>
      </c>
      <c r="F1348" s="5" t="s">
        <v>28</v>
      </c>
      <c r="G1348" s="6">
        <v>35280</v>
      </c>
      <c r="H1348" s="1341" t="str">
        <f>HYPERLINK("https://adv-map.ru/place/?LINK=20f7db02fff70b686e2acba85c9053f8","Ссылка")</f>
        <v>Ссылка</v>
      </c>
      <c r="I1348" s="5" t="s">
        <v>1371</v>
      </c>
    </row>
    <row r="1349" spans="1:9" s="4" customFormat="1" ht="38.1" customHeight="1" outlineLevel="1" x14ac:dyDescent="0.2">
      <c r="A1349" s="5" t="s">
        <v>340</v>
      </c>
      <c r="B1349" s="5" t="s">
        <v>134</v>
      </c>
      <c r="C1349" s="5" t="s">
        <v>1370</v>
      </c>
      <c r="D1349" s="5" t="s">
        <v>396</v>
      </c>
      <c r="E1349" s="5" t="s">
        <v>397</v>
      </c>
      <c r="F1349" s="5" t="s">
        <v>30</v>
      </c>
      <c r="G1349" s="6">
        <v>30240</v>
      </c>
      <c r="H1349" s="1342" t="str">
        <f>HYPERLINK("https://adv-map.ru/place/?LINK=511b7d3dffb93073e2779059a39b3cd0","Ссылка")</f>
        <v>Ссылка</v>
      </c>
      <c r="I1349" s="5" t="s">
        <v>1371</v>
      </c>
    </row>
    <row r="1350" spans="1:9" s="4" customFormat="1" ht="38.1" customHeight="1" outlineLevel="1" x14ac:dyDescent="0.2">
      <c r="A1350" s="5" t="s">
        <v>340</v>
      </c>
      <c r="B1350" s="5" t="s">
        <v>134</v>
      </c>
      <c r="C1350" s="5" t="s">
        <v>1370</v>
      </c>
      <c r="D1350" s="5" t="s">
        <v>396</v>
      </c>
      <c r="E1350" s="5" t="s">
        <v>397</v>
      </c>
      <c r="F1350" s="5" t="s">
        <v>31</v>
      </c>
      <c r="G1350" s="6">
        <v>25200</v>
      </c>
      <c r="H1350" s="1343" t="str">
        <f>HYPERLINK("https://adv-map.ru/place/?LINK=75be50fb6b335d2a0bd885ff0574bc1c","Ссылка")</f>
        <v>Ссылка</v>
      </c>
      <c r="I1350" s="5" t="s">
        <v>1371</v>
      </c>
    </row>
    <row r="1351" spans="1:9" s="4" customFormat="1" ht="38.1" customHeight="1" outlineLevel="1" x14ac:dyDescent="0.2">
      <c r="A1351" s="5" t="s">
        <v>340</v>
      </c>
      <c r="B1351" s="5" t="s">
        <v>345</v>
      </c>
      <c r="C1351" s="5" t="s">
        <v>1372</v>
      </c>
      <c r="D1351" s="5" t="s">
        <v>347</v>
      </c>
      <c r="E1351" s="5" t="s">
        <v>348</v>
      </c>
      <c r="F1351" s="5" t="s">
        <v>14</v>
      </c>
      <c r="G1351" s="6">
        <v>25200</v>
      </c>
      <c r="H1351" s="1344" t="str">
        <f>HYPERLINK("https://adv-map.ru/place/?LINK=8ad86610f1948721ed39fbd3a25a68be","Ссылка")</f>
        <v>Ссылка</v>
      </c>
      <c r="I1351" s="5" t="s">
        <v>1373</v>
      </c>
    </row>
    <row r="1352" spans="1:9" s="4" customFormat="1" ht="38.1" customHeight="1" outlineLevel="1" x14ac:dyDescent="0.2">
      <c r="A1352" s="5" t="s">
        <v>340</v>
      </c>
      <c r="B1352" s="5" t="s">
        <v>345</v>
      </c>
      <c r="C1352" s="5" t="s">
        <v>1372</v>
      </c>
      <c r="D1352" s="5" t="s">
        <v>347</v>
      </c>
      <c r="E1352" s="5" t="s">
        <v>348</v>
      </c>
      <c r="F1352" s="5" t="s">
        <v>16</v>
      </c>
      <c r="G1352" s="6">
        <v>20160</v>
      </c>
      <c r="H1352" s="1345" t="str">
        <f>HYPERLINK("https://adv-map.ru/place/?LINK=3297d45a2e073a8c45a6499a615a46d2","Ссылка")</f>
        <v>Ссылка</v>
      </c>
      <c r="I1352" s="5" t="s">
        <v>1373</v>
      </c>
    </row>
    <row r="1353" spans="1:9" s="4" customFormat="1" ht="38.1" customHeight="1" outlineLevel="1" x14ac:dyDescent="0.2">
      <c r="A1353" s="5" t="s">
        <v>340</v>
      </c>
      <c r="B1353" s="5" t="s">
        <v>345</v>
      </c>
      <c r="C1353" s="5" t="s">
        <v>1374</v>
      </c>
      <c r="D1353" s="5" t="s">
        <v>347</v>
      </c>
      <c r="E1353" s="5" t="s">
        <v>348</v>
      </c>
      <c r="F1353" s="5" t="s">
        <v>14</v>
      </c>
      <c r="G1353" s="6">
        <v>25200</v>
      </c>
      <c r="H1353" s="1346" t="str">
        <f>HYPERLINK("https://adv-map.ru/place/?LINK=f4b85bf398ec87d5df941bcb58ef8e75","Ссылка")</f>
        <v>Ссылка</v>
      </c>
      <c r="I1353" s="5" t="s">
        <v>1375</v>
      </c>
    </row>
    <row r="1354" spans="1:9" s="4" customFormat="1" ht="38.1" customHeight="1" outlineLevel="1" x14ac:dyDescent="0.2">
      <c r="A1354" s="5" t="s">
        <v>340</v>
      </c>
      <c r="B1354" s="5" t="s">
        <v>345</v>
      </c>
      <c r="C1354" s="5" t="s">
        <v>1374</v>
      </c>
      <c r="D1354" s="5" t="s">
        <v>347</v>
      </c>
      <c r="E1354" s="5" t="s">
        <v>348</v>
      </c>
      <c r="F1354" s="5" t="s">
        <v>16</v>
      </c>
      <c r="G1354" s="6">
        <v>20160</v>
      </c>
      <c r="H1354" s="1347" t="str">
        <f>HYPERLINK("https://adv-map.ru/place/?LINK=bda9436d827d6db284a552cba6f741cc","Ссылка")</f>
        <v>Ссылка</v>
      </c>
      <c r="I1354" s="5" t="s">
        <v>1376</v>
      </c>
    </row>
    <row r="1355" spans="1:9" s="4" customFormat="1" ht="38.1" customHeight="1" outlineLevel="1" x14ac:dyDescent="0.2">
      <c r="A1355" s="5" t="s">
        <v>340</v>
      </c>
      <c r="B1355" s="5" t="s">
        <v>345</v>
      </c>
      <c r="C1355" s="5" t="s">
        <v>1377</v>
      </c>
      <c r="D1355" s="5" t="s">
        <v>347</v>
      </c>
      <c r="E1355" s="5" t="s">
        <v>348</v>
      </c>
      <c r="F1355" s="5" t="s">
        <v>14</v>
      </c>
      <c r="G1355" s="6">
        <v>25200</v>
      </c>
      <c r="H1355" s="1348" t="str">
        <f>HYPERLINK("https://adv-map.ru/place/?LINK=beaacb1749b8de392df0430b017d858d","Ссылка")</f>
        <v>Ссылка</v>
      </c>
      <c r="I1355" s="5" t="s">
        <v>1378</v>
      </c>
    </row>
    <row r="1356" spans="1:9" s="4" customFormat="1" ht="38.1" customHeight="1" outlineLevel="1" x14ac:dyDescent="0.2">
      <c r="A1356" s="5" t="s">
        <v>340</v>
      </c>
      <c r="B1356" s="5" t="s">
        <v>345</v>
      </c>
      <c r="C1356" s="5" t="s">
        <v>1377</v>
      </c>
      <c r="D1356" s="5" t="s">
        <v>347</v>
      </c>
      <c r="E1356" s="5" t="s">
        <v>348</v>
      </c>
      <c r="F1356" s="5" t="s">
        <v>16</v>
      </c>
      <c r="G1356" s="6">
        <v>20160</v>
      </c>
      <c r="H1356" s="1349" t="str">
        <f>HYPERLINK("https://adv-map.ru/place/?LINK=fa5a290cf30520dd45db1e3176909d26","Ссылка")</f>
        <v>Ссылка</v>
      </c>
      <c r="I1356" s="5" t="s">
        <v>1378</v>
      </c>
    </row>
    <row r="1357" spans="1:9" s="4" customFormat="1" ht="38.1" customHeight="1" outlineLevel="1" x14ac:dyDescent="0.2">
      <c r="A1357" s="5" t="s">
        <v>340</v>
      </c>
      <c r="B1357" s="5" t="s">
        <v>345</v>
      </c>
      <c r="C1357" s="5" t="s">
        <v>1379</v>
      </c>
      <c r="D1357" s="5" t="s">
        <v>347</v>
      </c>
      <c r="E1357" s="5" t="s">
        <v>348</v>
      </c>
      <c r="F1357" s="5" t="s">
        <v>14</v>
      </c>
      <c r="G1357" s="6">
        <v>25200</v>
      </c>
      <c r="H1357" s="1350" t="str">
        <f>HYPERLINK("https://adv-map.ru/place/?LINK=9ec6769e4df900e3017e58bcc9c8d6d6","Ссылка")</f>
        <v>Ссылка</v>
      </c>
      <c r="I1357" s="5" t="s">
        <v>1380</v>
      </c>
    </row>
    <row r="1358" spans="1:9" s="4" customFormat="1" ht="38.1" customHeight="1" outlineLevel="1" x14ac:dyDescent="0.2">
      <c r="A1358" s="5" t="s">
        <v>340</v>
      </c>
      <c r="B1358" s="5" t="s">
        <v>345</v>
      </c>
      <c r="C1358" s="5" t="s">
        <v>1379</v>
      </c>
      <c r="D1358" s="5" t="s">
        <v>347</v>
      </c>
      <c r="E1358" s="5" t="s">
        <v>348</v>
      </c>
      <c r="F1358" s="5" t="s">
        <v>16</v>
      </c>
      <c r="G1358" s="6">
        <v>20160</v>
      </c>
      <c r="H1358" s="1351" t="str">
        <f>HYPERLINK("https://adv-map.ru/place/?LINK=faee24e38af38bdc2aa016deb08def98","Ссылка")</f>
        <v>Ссылка</v>
      </c>
      <c r="I1358" s="5" t="s">
        <v>1380</v>
      </c>
    </row>
    <row r="1359" spans="1:9" s="4" customFormat="1" ht="38.1" customHeight="1" outlineLevel="1" x14ac:dyDescent="0.2">
      <c r="A1359" s="5" t="s">
        <v>340</v>
      </c>
      <c r="B1359" s="5" t="s">
        <v>345</v>
      </c>
      <c r="C1359" s="5" t="s">
        <v>1381</v>
      </c>
      <c r="D1359" s="5" t="s">
        <v>347</v>
      </c>
      <c r="E1359" s="5" t="s">
        <v>348</v>
      </c>
      <c r="F1359" s="5" t="s">
        <v>14</v>
      </c>
      <c r="G1359" s="6">
        <v>25200</v>
      </c>
      <c r="H1359" s="1352" t="str">
        <f>HYPERLINK("https://adv-map.ru/place/?LINK=73471387f55dec7673c6ac287431a599","Ссылка")</f>
        <v>Ссылка</v>
      </c>
      <c r="I1359" s="5" t="s">
        <v>1382</v>
      </c>
    </row>
    <row r="1360" spans="1:9" s="4" customFormat="1" ht="38.1" customHeight="1" outlineLevel="1" x14ac:dyDescent="0.2">
      <c r="A1360" s="5" t="s">
        <v>340</v>
      </c>
      <c r="B1360" s="5" t="s">
        <v>345</v>
      </c>
      <c r="C1360" s="5" t="s">
        <v>1381</v>
      </c>
      <c r="D1360" s="5" t="s">
        <v>347</v>
      </c>
      <c r="E1360" s="5" t="s">
        <v>348</v>
      </c>
      <c r="F1360" s="5" t="s">
        <v>16</v>
      </c>
      <c r="G1360" s="6">
        <v>20160</v>
      </c>
      <c r="H1360" s="1353" t="str">
        <f>HYPERLINK("https://adv-map.ru/place/?LINK=f5bf39a41c36da48a20dbd23309d1a5f","Ссылка")</f>
        <v>Ссылка</v>
      </c>
      <c r="I1360" s="5" t="s">
        <v>1382</v>
      </c>
    </row>
    <row r="1361" spans="1:9" s="4" customFormat="1" ht="38.1" customHeight="1" outlineLevel="1" x14ac:dyDescent="0.2">
      <c r="A1361" s="5" t="s">
        <v>340</v>
      </c>
      <c r="B1361" s="5" t="s">
        <v>345</v>
      </c>
      <c r="C1361" s="5" t="s">
        <v>1383</v>
      </c>
      <c r="D1361" s="5" t="s">
        <v>347</v>
      </c>
      <c r="E1361" s="5" t="s">
        <v>348</v>
      </c>
      <c r="F1361" s="5" t="s">
        <v>14</v>
      </c>
      <c r="G1361" s="6">
        <v>25200</v>
      </c>
      <c r="H1361" s="1354" t="str">
        <f>HYPERLINK("https://adv-map.ru/place/?LINK=c3a5e90d867ce67b08e1af35f29ab342","Ссылка")</f>
        <v>Ссылка</v>
      </c>
      <c r="I1361" s="5" t="s">
        <v>1384</v>
      </c>
    </row>
    <row r="1362" spans="1:9" s="4" customFormat="1" ht="38.1" customHeight="1" outlineLevel="1" x14ac:dyDescent="0.2">
      <c r="A1362" s="5" t="s">
        <v>340</v>
      </c>
      <c r="B1362" s="5" t="s">
        <v>345</v>
      </c>
      <c r="C1362" s="5" t="s">
        <v>1383</v>
      </c>
      <c r="D1362" s="5" t="s">
        <v>347</v>
      </c>
      <c r="E1362" s="5" t="s">
        <v>348</v>
      </c>
      <c r="F1362" s="5" t="s">
        <v>16</v>
      </c>
      <c r="G1362" s="6">
        <v>20160</v>
      </c>
      <c r="H1362" s="1355" t="str">
        <f>HYPERLINK("https://adv-map.ru/place/?LINK=6b8cc6c276331ef11ea2d7a9de4634c5","Ссылка")</f>
        <v>Ссылка</v>
      </c>
      <c r="I1362" s="5" t="s">
        <v>1384</v>
      </c>
    </row>
    <row r="1363" spans="1:9" s="4" customFormat="1" ht="38.1" customHeight="1" outlineLevel="1" x14ac:dyDescent="0.2">
      <c r="A1363" s="5" t="s">
        <v>340</v>
      </c>
      <c r="B1363" s="5" t="s">
        <v>345</v>
      </c>
      <c r="C1363" s="5" t="s">
        <v>1385</v>
      </c>
      <c r="D1363" s="5" t="s">
        <v>347</v>
      </c>
      <c r="E1363" s="5" t="s">
        <v>348</v>
      </c>
      <c r="F1363" s="5" t="s">
        <v>14</v>
      </c>
      <c r="G1363" s="6">
        <v>25200</v>
      </c>
      <c r="H1363" s="1356" t="str">
        <f>HYPERLINK("https://adv-map.ru/place/?LINK=fd7466e93cac11e18bd84a957e068276","Ссылка")</f>
        <v>Ссылка</v>
      </c>
      <c r="I1363" s="5" t="s">
        <v>1386</v>
      </c>
    </row>
    <row r="1364" spans="1:9" s="4" customFormat="1" ht="38.1" customHeight="1" outlineLevel="1" x14ac:dyDescent="0.2">
      <c r="A1364" s="5" t="s">
        <v>340</v>
      </c>
      <c r="B1364" s="5" t="s">
        <v>345</v>
      </c>
      <c r="C1364" s="5" t="s">
        <v>1385</v>
      </c>
      <c r="D1364" s="5" t="s">
        <v>347</v>
      </c>
      <c r="E1364" s="5" t="s">
        <v>348</v>
      </c>
      <c r="F1364" s="5" t="s">
        <v>16</v>
      </c>
      <c r="G1364" s="6">
        <v>20160</v>
      </c>
      <c r="H1364" s="1357" t="str">
        <f>HYPERLINK("https://adv-map.ru/place/?LINK=4f00d06577cc8b7e88216c55a5c97d5f","Ссылка")</f>
        <v>Ссылка</v>
      </c>
      <c r="I1364" s="5" t="s">
        <v>1386</v>
      </c>
    </row>
    <row r="1365" spans="1:9" s="4" customFormat="1" ht="38.1" customHeight="1" outlineLevel="1" x14ac:dyDescent="0.2">
      <c r="A1365" s="5" t="s">
        <v>340</v>
      </c>
      <c r="B1365" s="5" t="s">
        <v>345</v>
      </c>
      <c r="C1365" s="5" t="s">
        <v>1387</v>
      </c>
      <c r="D1365" s="5" t="s">
        <v>347</v>
      </c>
      <c r="E1365" s="5" t="s">
        <v>348</v>
      </c>
      <c r="F1365" s="5" t="s">
        <v>14</v>
      </c>
      <c r="G1365" s="6">
        <v>25200</v>
      </c>
      <c r="H1365" s="1358" t="str">
        <f>HYPERLINK("https://adv-map.ru/place/?LINK=7ea5de12bbdf8949a80c4f1163aa5330","Ссылка")</f>
        <v>Ссылка</v>
      </c>
      <c r="I1365" s="5" t="s">
        <v>1388</v>
      </c>
    </row>
    <row r="1366" spans="1:9" s="4" customFormat="1" ht="38.1" customHeight="1" outlineLevel="1" x14ac:dyDescent="0.2">
      <c r="A1366" s="5" t="s">
        <v>340</v>
      </c>
      <c r="B1366" s="5" t="s">
        <v>345</v>
      </c>
      <c r="C1366" s="5" t="s">
        <v>1387</v>
      </c>
      <c r="D1366" s="5" t="s">
        <v>347</v>
      </c>
      <c r="E1366" s="5" t="s">
        <v>348</v>
      </c>
      <c r="F1366" s="5" t="s">
        <v>16</v>
      </c>
      <c r="G1366" s="6">
        <v>20160</v>
      </c>
      <c r="H1366" s="1359" t="str">
        <f>HYPERLINK("https://adv-map.ru/place/?LINK=0410ed865a575a83f6914b2b19c907ed","Ссылка")</f>
        <v>Ссылка</v>
      </c>
      <c r="I1366" s="5" t="s">
        <v>1388</v>
      </c>
    </row>
    <row r="1367" spans="1:9" s="4" customFormat="1" ht="38.1" customHeight="1" outlineLevel="1" x14ac:dyDescent="0.2">
      <c r="A1367" s="5" t="s">
        <v>340</v>
      </c>
      <c r="B1367" s="5" t="s">
        <v>345</v>
      </c>
      <c r="C1367" s="5" t="s">
        <v>1389</v>
      </c>
      <c r="D1367" s="5" t="s">
        <v>347</v>
      </c>
      <c r="E1367" s="5" t="s">
        <v>348</v>
      </c>
      <c r="F1367" s="5" t="s">
        <v>14</v>
      </c>
      <c r="G1367" s="6">
        <v>20160</v>
      </c>
      <c r="H1367" s="1360" t="str">
        <f>HYPERLINK("https://adv-map.ru/place/?LINK=ce7887b1d8e7cbe41d70d3e5f7060922","Ссылка")</f>
        <v>Ссылка</v>
      </c>
      <c r="I1367" s="5" t="s">
        <v>1390</v>
      </c>
    </row>
    <row r="1368" spans="1:9" s="4" customFormat="1" ht="51" customHeight="1" outlineLevel="1" x14ac:dyDescent="0.2">
      <c r="A1368" s="5" t="s">
        <v>340</v>
      </c>
      <c r="B1368" s="5" t="s">
        <v>345</v>
      </c>
      <c r="C1368" s="5" t="s">
        <v>1389</v>
      </c>
      <c r="D1368" s="5" t="s">
        <v>347</v>
      </c>
      <c r="E1368" s="5" t="s">
        <v>348</v>
      </c>
      <c r="F1368" s="5" t="s">
        <v>16</v>
      </c>
      <c r="G1368" s="6">
        <v>15120</v>
      </c>
      <c r="H1368" s="1361" t="str">
        <f>HYPERLINK("https://adv-map.ru/place/?LINK=8b00bed361f6a35294972da56901515b","Ссылка")</f>
        <v>Ссылка</v>
      </c>
      <c r="I1368" s="5" t="s">
        <v>1390</v>
      </c>
    </row>
    <row r="1369" spans="1:9" s="4" customFormat="1" ht="38.1" customHeight="1" outlineLevel="1" x14ac:dyDescent="0.2">
      <c r="A1369" s="5" t="s">
        <v>340</v>
      </c>
      <c r="B1369" s="5" t="s">
        <v>345</v>
      </c>
      <c r="C1369" s="5" t="s">
        <v>1391</v>
      </c>
      <c r="D1369" s="5" t="s">
        <v>347</v>
      </c>
      <c r="E1369" s="5" t="s">
        <v>348</v>
      </c>
      <c r="F1369" s="5" t="s">
        <v>14</v>
      </c>
      <c r="G1369" s="6">
        <v>25200</v>
      </c>
      <c r="H1369" s="1362" t="str">
        <f>HYPERLINK("https://adv-map.ru/place/?LINK=34d9c6183cfa8edc5d2cb89c2aef8e04","Ссылка")</f>
        <v>Ссылка</v>
      </c>
      <c r="I1369" s="5" t="s">
        <v>1392</v>
      </c>
    </row>
    <row r="1370" spans="1:9" s="4" customFormat="1" ht="38.1" customHeight="1" outlineLevel="1" x14ac:dyDescent="0.2">
      <c r="A1370" s="5" t="s">
        <v>340</v>
      </c>
      <c r="B1370" s="5" t="s">
        <v>345</v>
      </c>
      <c r="C1370" s="5" t="s">
        <v>1391</v>
      </c>
      <c r="D1370" s="5" t="s">
        <v>347</v>
      </c>
      <c r="E1370" s="5" t="s">
        <v>348</v>
      </c>
      <c r="F1370" s="5" t="s">
        <v>16</v>
      </c>
      <c r="G1370" s="6">
        <v>20160</v>
      </c>
      <c r="H1370" s="1363" t="str">
        <f>HYPERLINK("https://adv-map.ru/place/?LINK=031805dd093ed1d2eeacd5c7669fc4ba","Ссылка")</f>
        <v>Ссылка</v>
      </c>
      <c r="I1370" s="5" t="s">
        <v>1392</v>
      </c>
    </row>
    <row r="1371" spans="1:9" s="4" customFormat="1" ht="38.1" customHeight="1" outlineLevel="1" x14ac:dyDescent="0.2">
      <c r="A1371" s="5" t="s">
        <v>340</v>
      </c>
      <c r="B1371" s="5" t="s">
        <v>345</v>
      </c>
      <c r="C1371" s="5" t="s">
        <v>1393</v>
      </c>
      <c r="D1371" s="5" t="s">
        <v>12</v>
      </c>
      <c r="E1371" s="5" t="s">
        <v>13</v>
      </c>
      <c r="F1371" s="5" t="s">
        <v>14</v>
      </c>
      <c r="G1371" s="6">
        <v>44100</v>
      </c>
      <c r="H1371" s="1364" t="str">
        <f>HYPERLINK("https://adv-map.ru/place/?LINK=6191261e81d6ccd610f9ff10f94de03a","Ссылка")</f>
        <v>Ссылка</v>
      </c>
      <c r="I1371" s="5" t="s">
        <v>1394</v>
      </c>
    </row>
    <row r="1372" spans="1:9" s="4" customFormat="1" ht="38.1" customHeight="1" outlineLevel="1" x14ac:dyDescent="0.2">
      <c r="A1372" s="5" t="s">
        <v>340</v>
      </c>
      <c r="B1372" s="5" t="s">
        <v>345</v>
      </c>
      <c r="C1372" s="5" t="s">
        <v>1393</v>
      </c>
      <c r="D1372" s="5" t="s">
        <v>12</v>
      </c>
      <c r="E1372" s="5" t="s">
        <v>13</v>
      </c>
      <c r="F1372" s="5" t="s">
        <v>16</v>
      </c>
      <c r="G1372" s="6">
        <v>35280</v>
      </c>
      <c r="H1372" s="1365" t="str">
        <f>HYPERLINK("https://adv-map.ru/place/?LINK=fb33b5a8c0d88543601fcc61ac18df40","Ссылка")</f>
        <v>Ссылка</v>
      </c>
      <c r="I1372" s="5" t="s">
        <v>1394</v>
      </c>
    </row>
    <row r="1373" spans="1:9" s="4" customFormat="1" ht="38.1" customHeight="1" outlineLevel="1" x14ac:dyDescent="0.2">
      <c r="A1373" s="5" t="s">
        <v>340</v>
      </c>
      <c r="B1373" s="5" t="s">
        <v>345</v>
      </c>
      <c r="C1373" s="5" t="s">
        <v>1395</v>
      </c>
      <c r="D1373" s="5" t="s">
        <v>347</v>
      </c>
      <c r="E1373" s="5" t="s">
        <v>348</v>
      </c>
      <c r="F1373" s="5" t="s">
        <v>14</v>
      </c>
      <c r="G1373" s="6">
        <v>21000</v>
      </c>
      <c r="H1373" s="1366" t="str">
        <f>HYPERLINK("https://adv-map.ru/place/?LINK=c74d25fa6d385e8710a55b051116a8e6","Ссылка")</f>
        <v>Ссылка</v>
      </c>
      <c r="I1373" s="5" t="s">
        <v>1396</v>
      </c>
    </row>
    <row r="1374" spans="1:9" s="4" customFormat="1" ht="38.1" customHeight="1" outlineLevel="1" x14ac:dyDescent="0.2">
      <c r="A1374" s="5" t="s">
        <v>340</v>
      </c>
      <c r="B1374" s="5" t="s">
        <v>345</v>
      </c>
      <c r="C1374" s="5" t="s">
        <v>1395</v>
      </c>
      <c r="D1374" s="5" t="s">
        <v>347</v>
      </c>
      <c r="E1374" s="5" t="s">
        <v>348</v>
      </c>
      <c r="F1374" s="5" t="s">
        <v>16</v>
      </c>
      <c r="G1374" s="6">
        <v>16800</v>
      </c>
      <c r="H1374" s="1367" t="str">
        <f>HYPERLINK("https://adv-map.ru/place/?LINK=2010ed4d6ec4c7e40d50904270f9a52c","Ссылка")</f>
        <v>Ссылка</v>
      </c>
      <c r="I1374" s="5" t="s">
        <v>1396</v>
      </c>
    </row>
    <row r="1375" spans="1:9" s="4" customFormat="1" ht="51" customHeight="1" outlineLevel="1" x14ac:dyDescent="0.2">
      <c r="A1375" s="5" t="s">
        <v>340</v>
      </c>
      <c r="B1375" s="5" t="s">
        <v>345</v>
      </c>
      <c r="C1375" s="5" t="s">
        <v>1397</v>
      </c>
      <c r="D1375" s="5" t="s">
        <v>347</v>
      </c>
      <c r="E1375" s="5" t="s">
        <v>348</v>
      </c>
      <c r="F1375" s="5" t="s">
        <v>14</v>
      </c>
      <c r="G1375" s="6">
        <v>25200</v>
      </c>
      <c r="H1375" s="1368" t="str">
        <f>HYPERLINK("https://adv-map.ru/place/?LINK=771e9e449c7d8063046993102daa02aa","Ссылка")</f>
        <v>Ссылка</v>
      </c>
      <c r="I1375" s="5" t="s">
        <v>1398</v>
      </c>
    </row>
    <row r="1376" spans="1:9" s="4" customFormat="1" ht="38.1" customHeight="1" outlineLevel="1" x14ac:dyDescent="0.2">
      <c r="A1376" s="5" t="s">
        <v>340</v>
      </c>
      <c r="B1376" s="5" t="s">
        <v>345</v>
      </c>
      <c r="C1376" s="5" t="s">
        <v>1397</v>
      </c>
      <c r="D1376" s="5" t="s">
        <v>347</v>
      </c>
      <c r="E1376" s="5" t="s">
        <v>348</v>
      </c>
      <c r="F1376" s="5" t="s">
        <v>16</v>
      </c>
      <c r="G1376" s="6">
        <v>20160</v>
      </c>
      <c r="H1376" s="1369" t="str">
        <f>HYPERLINK("https://adv-map.ru/place/?LINK=76960d40d03881c055687fccb24865e5","Ссылка")</f>
        <v>Ссылка</v>
      </c>
      <c r="I1376" s="5" t="s">
        <v>1398</v>
      </c>
    </row>
    <row r="1377" spans="1:9" s="4" customFormat="1" ht="38.1" customHeight="1" outlineLevel="1" x14ac:dyDescent="0.2">
      <c r="A1377" s="5" t="s">
        <v>340</v>
      </c>
      <c r="B1377" s="5" t="s">
        <v>345</v>
      </c>
      <c r="C1377" s="5" t="s">
        <v>1399</v>
      </c>
      <c r="D1377" s="5" t="s">
        <v>12</v>
      </c>
      <c r="E1377" s="5" t="s">
        <v>13</v>
      </c>
      <c r="F1377" s="5" t="s">
        <v>14</v>
      </c>
      <c r="G1377" s="6">
        <v>44100</v>
      </c>
      <c r="H1377" s="1370" t="str">
        <f>HYPERLINK("https://adv-map.ru/place/?LINK=579efcb91968de8900203b408c6f2c6c","Ссылка")</f>
        <v>Ссылка</v>
      </c>
      <c r="I1377" s="5" t="s">
        <v>1400</v>
      </c>
    </row>
    <row r="1378" spans="1:9" s="4" customFormat="1" ht="38.1" customHeight="1" outlineLevel="1" x14ac:dyDescent="0.2">
      <c r="A1378" s="5" t="s">
        <v>340</v>
      </c>
      <c r="B1378" s="5" t="s">
        <v>345</v>
      </c>
      <c r="C1378" s="5" t="s">
        <v>1399</v>
      </c>
      <c r="D1378" s="5" t="s">
        <v>12</v>
      </c>
      <c r="E1378" s="5" t="s">
        <v>13</v>
      </c>
      <c r="F1378" s="5" t="s">
        <v>16</v>
      </c>
      <c r="G1378" s="6">
        <v>35280</v>
      </c>
      <c r="H1378" s="1371" t="str">
        <f>HYPERLINK("https://adv-map.ru/place/?LINK=72ed30629333f83af37c71fac968d82d","Ссылка")</f>
        <v>Ссылка</v>
      </c>
      <c r="I1378" s="5" t="s">
        <v>1400</v>
      </c>
    </row>
    <row r="1379" spans="1:9" s="4" customFormat="1" ht="38.1" customHeight="1" outlineLevel="1" x14ac:dyDescent="0.2">
      <c r="A1379" s="5" t="s">
        <v>340</v>
      </c>
      <c r="B1379" s="5" t="s">
        <v>345</v>
      </c>
      <c r="C1379" s="5" t="s">
        <v>1401</v>
      </c>
      <c r="D1379" s="5" t="s">
        <v>347</v>
      </c>
      <c r="E1379" s="5" t="s">
        <v>348</v>
      </c>
      <c r="F1379" s="5" t="s">
        <v>14</v>
      </c>
      <c r="G1379" s="6">
        <v>22680</v>
      </c>
      <c r="H1379" s="1372" t="str">
        <f>HYPERLINK("https://adv-map.ru/place/?LINK=8be678f546a597943493db880fd28a73","Ссылка")</f>
        <v>Ссылка</v>
      </c>
      <c r="I1379" s="5" t="s">
        <v>1402</v>
      </c>
    </row>
    <row r="1380" spans="1:9" s="4" customFormat="1" ht="38.1" customHeight="1" outlineLevel="1" x14ac:dyDescent="0.2">
      <c r="A1380" s="5" t="s">
        <v>340</v>
      </c>
      <c r="B1380" s="5" t="s">
        <v>345</v>
      </c>
      <c r="C1380" s="5" t="s">
        <v>1401</v>
      </c>
      <c r="D1380" s="5" t="s">
        <v>347</v>
      </c>
      <c r="E1380" s="5" t="s">
        <v>348</v>
      </c>
      <c r="F1380" s="5" t="s">
        <v>16</v>
      </c>
      <c r="G1380" s="6">
        <v>18900</v>
      </c>
      <c r="H1380" s="1373" t="str">
        <f>HYPERLINK("https://adv-map.ru/place/?LINK=95d978427aeea458da6a47bc7cb412ba","Ссылка")</f>
        <v>Ссылка</v>
      </c>
      <c r="I1380" s="5" t="s">
        <v>1403</v>
      </c>
    </row>
    <row r="1381" spans="1:9" s="4" customFormat="1" ht="38.1" customHeight="1" outlineLevel="1" x14ac:dyDescent="0.2">
      <c r="A1381" s="5" t="s">
        <v>340</v>
      </c>
      <c r="B1381" s="5" t="s">
        <v>345</v>
      </c>
      <c r="C1381" s="5" t="s">
        <v>1404</v>
      </c>
      <c r="D1381" s="5" t="s">
        <v>347</v>
      </c>
      <c r="E1381" s="5" t="s">
        <v>348</v>
      </c>
      <c r="F1381" s="5" t="s">
        <v>14</v>
      </c>
      <c r="G1381" s="6">
        <v>22680</v>
      </c>
      <c r="H1381" s="1374" t="str">
        <f>HYPERLINK("https://adv-map.ru/place/?LINK=9d8669311468ebcc73497266f6a2bb03","Ссылка")</f>
        <v>Ссылка</v>
      </c>
      <c r="I1381" s="5" t="s">
        <v>1405</v>
      </c>
    </row>
    <row r="1382" spans="1:9" s="4" customFormat="1" ht="38.1" customHeight="1" outlineLevel="1" x14ac:dyDescent="0.2">
      <c r="A1382" s="5" t="s">
        <v>340</v>
      </c>
      <c r="B1382" s="5" t="s">
        <v>345</v>
      </c>
      <c r="C1382" s="5" t="s">
        <v>1404</v>
      </c>
      <c r="D1382" s="5" t="s">
        <v>347</v>
      </c>
      <c r="E1382" s="5" t="s">
        <v>348</v>
      </c>
      <c r="F1382" s="5" t="s">
        <v>16</v>
      </c>
      <c r="G1382" s="6">
        <v>18900</v>
      </c>
      <c r="H1382" s="1375" t="str">
        <f>HYPERLINK("https://adv-map.ru/place/?LINK=bdba223c6bc0ae3817f99e2f423b9c37","Ссылка")</f>
        <v>Ссылка</v>
      </c>
      <c r="I1382" s="5" t="s">
        <v>1406</v>
      </c>
    </row>
    <row r="1383" spans="1:9" s="4" customFormat="1" ht="38.1" customHeight="1" outlineLevel="1" x14ac:dyDescent="0.2">
      <c r="A1383" s="5" t="s">
        <v>340</v>
      </c>
      <c r="B1383" s="5" t="s">
        <v>345</v>
      </c>
      <c r="C1383" s="5" t="s">
        <v>1407</v>
      </c>
      <c r="D1383" s="5" t="s">
        <v>347</v>
      </c>
      <c r="E1383" s="5" t="s">
        <v>348</v>
      </c>
      <c r="F1383" s="5" t="s">
        <v>14</v>
      </c>
      <c r="G1383" s="6">
        <v>22680</v>
      </c>
      <c r="H1383" s="1376" t="str">
        <f>HYPERLINK("https://adv-map.ru/place/?LINK=e8ce971531873dc82c6b1568964b31d8","Ссылка")</f>
        <v>Ссылка</v>
      </c>
      <c r="I1383" s="5" t="s">
        <v>1408</v>
      </c>
    </row>
    <row r="1384" spans="1:9" s="4" customFormat="1" ht="38.1" customHeight="1" outlineLevel="1" x14ac:dyDescent="0.2">
      <c r="A1384" s="5" t="s">
        <v>340</v>
      </c>
      <c r="B1384" s="5" t="s">
        <v>345</v>
      </c>
      <c r="C1384" s="5" t="s">
        <v>1407</v>
      </c>
      <c r="D1384" s="5" t="s">
        <v>347</v>
      </c>
      <c r="E1384" s="5" t="s">
        <v>348</v>
      </c>
      <c r="F1384" s="5" t="s">
        <v>16</v>
      </c>
      <c r="G1384" s="6">
        <v>15120</v>
      </c>
      <c r="H1384" s="1377" t="str">
        <f>HYPERLINK("https://adv-map.ru/place/?LINK=ade756e5f982f5298c47a26146b7e2e5","Ссылка")</f>
        <v>Ссылка</v>
      </c>
      <c r="I1384" s="5" t="s">
        <v>1408</v>
      </c>
    </row>
    <row r="1385" spans="1:9" s="4" customFormat="1" ht="38.1" customHeight="1" outlineLevel="1" x14ac:dyDescent="0.2">
      <c r="A1385" s="5" t="s">
        <v>340</v>
      </c>
      <c r="B1385" s="5" t="s">
        <v>345</v>
      </c>
      <c r="C1385" s="5" t="s">
        <v>1409</v>
      </c>
      <c r="D1385" s="5" t="s">
        <v>347</v>
      </c>
      <c r="E1385" s="5" t="s">
        <v>348</v>
      </c>
      <c r="F1385" s="5" t="s">
        <v>14</v>
      </c>
      <c r="G1385" s="6">
        <v>22680</v>
      </c>
      <c r="H1385" s="1378" t="str">
        <f>HYPERLINK("https://adv-map.ru/place/?LINK=e020df7f8ab9a10648168f9c9c8acf09","Ссылка")</f>
        <v>Ссылка</v>
      </c>
      <c r="I1385" s="5" t="s">
        <v>1410</v>
      </c>
    </row>
    <row r="1386" spans="1:9" s="4" customFormat="1" ht="38.1" customHeight="1" outlineLevel="1" x14ac:dyDescent="0.2">
      <c r="A1386" s="5" t="s">
        <v>340</v>
      </c>
      <c r="B1386" s="5" t="s">
        <v>345</v>
      </c>
      <c r="C1386" s="5" t="s">
        <v>1409</v>
      </c>
      <c r="D1386" s="5" t="s">
        <v>347</v>
      </c>
      <c r="E1386" s="5" t="s">
        <v>348</v>
      </c>
      <c r="F1386" s="5" t="s">
        <v>16</v>
      </c>
      <c r="G1386" s="6">
        <v>18900</v>
      </c>
      <c r="H1386" s="1379" t="str">
        <f>HYPERLINK("https://adv-map.ru/place/?LINK=ddb3886eb806ea2630dd2749acf81d05","Ссылка")</f>
        <v>Ссылка</v>
      </c>
      <c r="I1386" s="5" t="s">
        <v>1410</v>
      </c>
    </row>
    <row r="1387" spans="1:9" s="4" customFormat="1" ht="38.1" customHeight="1" outlineLevel="1" x14ac:dyDescent="0.2">
      <c r="A1387" s="5" t="s">
        <v>340</v>
      </c>
      <c r="B1387" s="5" t="s">
        <v>345</v>
      </c>
      <c r="C1387" s="5" t="s">
        <v>1411</v>
      </c>
      <c r="D1387" s="5" t="s">
        <v>12</v>
      </c>
      <c r="E1387" s="5" t="s">
        <v>13</v>
      </c>
      <c r="F1387" s="5" t="s">
        <v>14</v>
      </c>
      <c r="G1387" s="6">
        <v>40000</v>
      </c>
      <c r="H1387" s="1380" t="str">
        <f>HYPERLINK("https://adv-map.ru/place/?LINK=d52531d7377058dbf135d6a9ac20cc1f","Ссылка")</f>
        <v>Ссылка</v>
      </c>
      <c r="I1387" s="5" t="s">
        <v>1412</v>
      </c>
    </row>
    <row r="1388" spans="1:9" s="4" customFormat="1" ht="38.1" customHeight="1" outlineLevel="1" x14ac:dyDescent="0.2">
      <c r="A1388" s="5" t="s">
        <v>340</v>
      </c>
      <c r="B1388" s="5" t="s">
        <v>345</v>
      </c>
      <c r="C1388" s="5" t="s">
        <v>1411</v>
      </c>
      <c r="D1388" s="5" t="s">
        <v>12</v>
      </c>
      <c r="E1388" s="5" t="s">
        <v>13</v>
      </c>
      <c r="F1388" s="5" t="s">
        <v>16</v>
      </c>
      <c r="G1388" s="6">
        <v>30000</v>
      </c>
      <c r="H1388" s="1381" t="str">
        <f>HYPERLINK("https://adv-map.ru/place/?LINK=e7b5840e983548e64d04bd55d06521cd","Ссылка")</f>
        <v>Ссылка</v>
      </c>
      <c r="I1388" s="5" t="s">
        <v>1412</v>
      </c>
    </row>
    <row r="1389" spans="1:9" s="4" customFormat="1" ht="38.1" customHeight="1" outlineLevel="1" x14ac:dyDescent="0.2">
      <c r="A1389" s="5" t="s">
        <v>340</v>
      </c>
      <c r="B1389" s="5" t="s">
        <v>652</v>
      </c>
      <c r="C1389" s="5" t="s">
        <v>1413</v>
      </c>
      <c r="D1389" s="5" t="s">
        <v>347</v>
      </c>
      <c r="E1389" s="5" t="s">
        <v>348</v>
      </c>
      <c r="F1389" s="5" t="s">
        <v>14</v>
      </c>
      <c r="G1389" s="6">
        <v>22680</v>
      </c>
      <c r="H1389" s="1382" t="str">
        <f>HYPERLINK("https://adv-map.ru/place/?LINK=faaac942de6f1ad3fdff26463fa7f1a7","Ссылка")</f>
        <v>Ссылка</v>
      </c>
      <c r="I1389" s="5" t="s">
        <v>1414</v>
      </c>
    </row>
    <row r="1390" spans="1:9" s="4" customFormat="1" ht="38.1" customHeight="1" outlineLevel="1" x14ac:dyDescent="0.2">
      <c r="A1390" s="5" t="s">
        <v>340</v>
      </c>
      <c r="B1390" s="5" t="s">
        <v>652</v>
      </c>
      <c r="C1390" s="5" t="s">
        <v>1413</v>
      </c>
      <c r="D1390" s="5" t="s">
        <v>347</v>
      </c>
      <c r="E1390" s="5" t="s">
        <v>348</v>
      </c>
      <c r="F1390" s="5" t="s">
        <v>16</v>
      </c>
      <c r="G1390" s="6">
        <v>17640</v>
      </c>
      <c r="H1390" s="1383" t="str">
        <f>HYPERLINK("https://adv-map.ru/place/?LINK=d2b8b42ea20e252dc7bd55000a3af8e7","Ссылка")</f>
        <v>Ссылка</v>
      </c>
      <c r="I1390" s="5" t="s">
        <v>1414</v>
      </c>
    </row>
    <row r="1391" spans="1:9" s="4" customFormat="1" ht="38.1" customHeight="1" outlineLevel="1" x14ac:dyDescent="0.2">
      <c r="A1391" s="5" t="s">
        <v>340</v>
      </c>
      <c r="B1391" s="5" t="s">
        <v>652</v>
      </c>
      <c r="C1391" s="5" t="s">
        <v>1415</v>
      </c>
      <c r="D1391" s="5" t="s">
        <v>347</v>
      </c>
      <c r="E1391" s="5" t="s">
        <v>348</v>
      </c>
      <c r="F1391" s="5" t="s">
        <v>14</v>
      </c>
      <c r="G1391" s="6">
        <v>22680</v>
      </c>
      <c r="H1391" s="1384" t="str">
        <f>HYPERLINK("https://adv-map.ru/place/?LINK=cdc8b833fbec1dbb14d0bf3ec4587793","Ссылка")</f>
        <v>Ссылка</v>
      </c>
      <c r="I1391" s="5" t="s">
        <v>1416</v>
      </c>
    </row>
    <row r="1392" spans="1:9" s="4" customFormat="1" ht="38.1" customHeight="1" outlineLevel="1" x14ac:dyDescent="0.2">
      <c r="A1392" s="5" t="s">
        <v>340</v>
      </c>
      <c r="B1392" s="5" t="s">
        <v>652</v>
      </c>
      <c r="C1392" s="5" t="s">
        <v>1415</v>
      </c>
      <c r="D1392" s="5" t="s">
        <v>347</v>
      </c>
      <c r="E1392" s="5" t="s">
        <v>348</v>
      </c>
      <c r="F1392" s="5" t="s">
        <v>16</v>
      </c>
      <c r="G1392" s="6">
        <v>17640</v>
      </c>
      <c r="H1392" s="1385" t="str">
        <f>HYPERLINK("https://adv-map.ru/place/?LINK=cd0677174b7c5917cc667af5ab561d44","Ссылка")</f>
        <v>Ссылка</v>
      </c>
      <c r="I1392" s="5" t="s">
        <v>1416</v>
      </c>
    </row>
    <row r="1393" spans="1:9" s="4" customFormat="1" ht="38.1" customHeight="1" outlineLevel="1" x14ac:dyDescent="0.2">
      <c r="A1393" s="5" t="s">
        <v>340</v>
      </c>
      <c r="B1393" s="5" t="s">
        <v>652</v>
      </c>
      <c r="C1393" s="5" t="s">
        <v>1417</v>
      </c>
      <c r="D1393" s="5" t="s">
        <v>12</v>
      </c>
      <c r="E1393" s="5" t="s">
        <v>13</v>
      </c>
      <c r="F1393" s="5" t="s">
        <v>14</v>
      </c>
      <c r="G1393" s="6">
        <v>46200</v>
      </c>
      <c r="H1393" s="1386" t="str">
        <f>HYPERLINK("https://adv-map.ru/place/?LINK=0c27f57ba42e320289fb95c548b16399","Ссылка")</f>
        <v>Ссылка</v>
      </c>
      <c r="I1393" s="5" t="s">
        <v>1418</v>
      </c>
    </row>
    <row r="1394" spans="1:9" s="4" customFormat="1" ht="38.1" customHeight="1" outlineLevel="1" x14ac:dyDescent="0.2">
      <c r="A1394" s="5" t="s">
        <v>340</v>
      </c>
      <c r="B1394" s="5" t="s">
        <v>652</v>
      </c>
      <c r="C1394" s="5" t="s">
        <v>1417</v>
      </c>
      <c r="D1394" s="5" t="s">
        <v>12</v>
      </c>
      <c r="E1394" s="5" t="s">
        <v>13</v>
      </c>
      <c r="F1394" s="5" t="s">
        <v>16</v>
      </c>
      <c r="G1394" s="6">
        <v>42000</v>
      </c>
      <c r="H1394" s="1387" t="str">
        <f>HYPERLINK("https://adv-map.ru/place/?LINK=7c3faf8f653daaebb1beb8f49bf18500","Ссылка")</f>
        <v>Ссылка</v>
      </c>
      <c r="I1394" s="5" t="s">
        <v>1418</v>
      </c>
    </row>
    <row r="1395" spans="1:9" s="4" customFormat="1" ht="38.1" customHeight="1" outlineLevel="1" x14ac:dyDescent="0.2">
      <c r="A1395" s="5" t="s">
        <v>340</v>
      </c>
      <c r="B1395" s="5" t="s">
        <v>652</v>
      </c>
      <c r="C1395" s="5" t="s">
        <v>1419</v>
      </c>
      <c r="D1395" s="5" t="s">
        <v>396</v>
      </c>
      <c r="E1395" s="5" t="s">
        <v>397</v>
      </c>
      <c r="F1395" s="5" t="s">
        <v>14</v>
      </c>
      <c r="G1395" s="6">
        <v>31500</v>
      </c>
      <c r="H1395" s="1388" t="str">
        <f>HYPERLINK("https://adv-map.ru/place/?LINK=764ca8c6025c09e43a4c1fac328be30f","Ссылка")</f>
        <v>Ссылка</v>
      </c>
      <c r="I1395" s="5" t="s">
        <v>1420</v>
      </c>
    </row>
    <row r="1396" spans="1:9" s="4" customFormat="1" ht="38.1" customHeight="1" outlineLevel="1" x14ac:dyDescent="0.2">
      <c r="A1396" s="5" t="s">
        <v>340</v>
      </c>
      <c r="B1396" s="5" t="s">
        <v>652</v>
      </c>
      <c r="C1396" s="5" t="s">
        <v>1419</v>
      </c>
      <c r="D1396" s="5" t="s">
        <v>396</v>
      </c>
      <c r="E1396" s="5" t="s">
        <v>397</v>
      </c>
      <c r="F1396" s="5" t="s">
        <v>16</v>
      </c>
      <c r="G1396" s="6">
        <v>25200</v>
      </c>
      <c r="H1396" s="1389" t="str">
        <f>HYPERLINK("https://adv-map.ru/place/?LINK=44a84b11c91efef0dc717de2dbaba1cf","Ссылка")</f>
        <v>Ссылка</v>
      </c>
      <c r="I1396" s="5" t="s">
        <v>1420</v>
      </c>
    </row>
    <row r="1397" spans="1:9" s="4" customFormat="1" ht="38.1" customHeight="1" outlineLevel="1" x14ac:dyDescent="0.2">
      <c r="A1397" s="5" t="s">
        <v>340</v>
      </c>
      <c r="B1397" s="5" t="s">
        <v>652</v>
      </c>
      <c r="C1397" s="5" t="s">
        <v>1421</v>
      </c>
      <c r="D1397" s="5" t="s">
        <v>347</v>
      </c>
      <c r="E1397" s="5" t="s">
        <v>348</v>
      </c>
      <c r="F1397" s="5" t="s">
        <v>14</v>
      </c>
      <c r="G1397" s="6">
        <v>22680</v>
      </c>
      <c r="H1397" s="1390" t="str">
        <f>HYPERLINK("https://adv-map.ru/place/?LINK=9394ec3084a3fd425251f6322cd4bffe","Ссылка")</f>
        <v>Ссылка</v>
      </c>
      <c r="I1397" s="5" t="s">
        <v>1422</v>
      </c>
    </row>
    <row r="1398" spans="1:9" s="4" customFormat="1" ht="38.1" customHeight="1" outlineLevel="1" x14ac:dyDescent="0.2">
      <c r="A1398" s="5" t="s">
        <v>340</v>
      </c>
      <c r="B1398" s="5" t="s">
        <v>652</v>
      </c>
      <c r="C1398" s="5" t="s">
        <v>1421</v>
      </c>
      <c r="D1398" s="5" t="s">
        <v>347</v>
      </c>
      <c r="E1398" s="5" t="s">
        <v>348</v>
      </c>
      <c r="F1398" s="5" t="s">
        <v>16</v>
      </c>
      <c r="G1398" s="6">
        <v>17640</v>
      </c>
      <c r="H1398" s="1391" t="str">
        <f>HYPERLINK("https://adv-map.ru/place/?LINK=e1fcc3fa8dd1fd4847baa07e65af521f","Ссылка")</f>
        <v>Ссылка</v>
      </c>
      <c r="I1398" s="5" t="s">
        <v>1422</v>
      </c>
    </row>
    <row r="1399" spans="1:9" s="4" customFormat="1" ht="38.1" customHeight="1" outlineLevel="1" x14ac:dyDescent="0.2">
      <c r="A1399" s="5" t="s">
        <v>340</v>
      </c>
      <c r="B1399" s="5" t="s">
        <v>652</v>
      </c>
      <c r="C1399" s="5" t="s">
        <v>1423</v>
      </c>
      <c r="D1399" s="5" t="s">
        <v>43</v>
      </c>
      <c r="E1399" s="5" t="s">
        <v>504</v>
      </c>
      <c r="F1399" s="5" t="s">
        <v>14</v>
      </c>
      <c r="G1399" s="6">
        <v>42000</v>
      </c>
      <c r="H1399" s="1392" t="str">
        <f>HYPERLINK("https://adv-map.ru/place/?LINK=74e4db18b78db977b7fbde0ac2a81b55","Ссылка")</f>
        <v>Ссылка</v>
      </c>
      <c r="I1399" s="5" t="s">
        <v>1424</v>
      </c>
    </row>
    <row r="1400" spans="1:9" s="4" customFormat="1" ht="38.1" customHeight="1" outlineLevel="1" x14ac:dyDescent="0.2">
      <c r="A1400" s="5" t="s">
        <v>340</v>
      </c>
      <c r="B1400" s="5" t="s">
        <v>652</v>
      </c>
      <c r="C1400" s="5" t="s">
        <v>1423</v>
      </c>
      <c r="D1400" s="5" t="s">
        <v>43</v>
      </c>
      <c r="E1400" s="5" t="s">
        <v>504</v>
      </c>
      <c r="F1400" s="5" t="s">
        <v>16</v>
      </c>
      <c r="G1400" s="6">
        <v>25200</v>
      </c>
      <c r="H1400" s="1393" t="str">
        <f>HYPERLINK("https://adv-map.ru/place/?LINK=60f55daa2381b85973c1cacada343b60","Ссылка")</f>
        <v>Ссылка</v>
      </c>
      <c r="I1400" s="5" t="s">
        <v>1424</v>
      </c>
    </row>
    <row r="1401" spans="1:9" s="4" customFormat="1" ht="38.1" customHeight="1" outlineLevel="1" x14ac:dyDescent="0.2">
      <c r="A1401" s="5" t="s">
        <v>340</v>
      </c>
      <c r="B1401" s="5" t="s">
        <v>354</v>
      </c>
      <c r="C1401" s="5" t="s">
        <v>1425</v>
      </c>
      <c r="D1401" s="5" t="s">
        <v>12</v>
      </c>
      <c r="E1401" s="5" t="s">
        <v>13</v>
      </c>
      <c r="F1401" s="5" t="s">
        <v>14</v>
      </c>
      <c r="G1401" s="6">
        <v>37800</v>
      </c>
      <c r="H1401" s="1394" t="str">
        <f>HYPERLINK("https://adv-map.ru/place/?LINK=d3ce0b3b58a4921962769d50e505fd66","Ссылка")</f>
        <v>Ссылка</v>
      </c>
      <c r="I1401" s="5" t="s">
        <v>1426</v>
      </c>
    </row>
    <row r="1402" spans="1:9" s="4" customFormat="1" ht="38.1" customHeight="1" outlineLevel="1" x14ac:dyDescent="0.2">
      <c r="A1402" s="5" t="s">
        <v>340</v>
      </c>
      <c r="B1402" s="5" t="s">
        <v>354</v>
      </c>
      <c r="C1402" s="5" t="s">
        <v>1425</v>
      </c>
      <c r="D1402" s="5" t="s">
        <v>12</v>
      </c>
      <c r="E1402" s="5" t="s">
        <v>13</v>
      </c>
      <c r="F1402" s="5" t="s">
        <v>16</v>
      </c>
      <c r="G1402" s="6">
        <v>25200</v>
      </c>
      <c r="H1402" s="1395" t="str">
        <f>HYPERLINK("https://adv-map.ru/place/?LINK=d950dd5052f244beea8111bb75df4d38","Ссылка")</f>
        <v>Ссылка</v>
      </c>
      <c r="I1402" s="5" t="s">
        <v>1426</v>
      </c>
    </row>
    <row r="1403" spans="1:9" s="4" customFormat="1" ht="38.1" customHeight="1" outlineLevel="1" x14ac:dyDescent="0.2">
      <c r="A1403" s="5" t="s">
        <v>340</v>
      </c>
      <c r="B1403" s="5" t="s">
        <v>365</v>
      </c>
      <c r="C1403" s="5" t="s">
        <v>1427</v>
      </c>
      <c r="D1403" s="5" t="s">
        <v>12</v>
      </c>
      <c r="E1403" s="5" t="s">
        <v>13</v>
      </c>
      <c r="F1403" s="5" t="s">
        <v>14</v>
      </c>
      <c r="G1403" s="6">
        <v>50400</v>
      </c>
      <c r="H1403" s="1396" t="str">
        <f>HYPERLINK("https://adv-map.ru/place/?LINK=637b71a4f1c5d4c818a1c0e4d35820c5","Ссылка")</f>
        <v>Ссылка</v>
      </c>
      <c r="I1403" s="5" t="s">
        <v>1428</v>
      </c>
    </row>
    <row r="1404" spans="1:9" s="4" customFormat="1" ht="38.1" customHeight="1" outlineLevel="1" x14ac:dyDescent="0.2">
      <c r="A1404" s="5" t="s">
        <v>340</v>
      </c>
      <c r="B1404" s="5" t="s">
        <v>365</v>
      </c>
      <c r="C1404" s="5" t="s">
        <v>1427</v>
      </c>
      <c r="D1404" s="5" t="s">
        <v>12</v>
      </c>
      <c r="E1404" s="5" t="s">
        <v>13</v>
      </c>
      <c r="F1404" s="5" t="s">
        <v>16</v>
      </c>
      <c r="G1404" s="6">
        <v>37800</v>
      </c>
      <c r="H1404" s="1397" t="str">
        <f>HYPERLINK("https://adv-map.ru/place/?LINK=3deb5d611e939224915d0d147ef7aa56","Ссылка")</f>
        <v>Ссылка</v>
      </c>
      <c r="I1404" s="5" t="s">
        <v>1428</v>
      </c>
    </row>
    <row r="1405" spans="1:9" s="4" customFormat="1" ht="38.1" customHeight="1" outlineLevel="1" x14ac:dyDescent="0.2">
      <c r="A1405" s="5" t="s">
        <v>340</v>
      </c>
      <c r="B1405" s="5" t="s">
        <v>365</v>
      </c>
      <c r="C1405" s="5" t="s">
        <v>1429</v>
      </c>
      <c r="D1405" s="5" t="s">
        <v>347</v>
      </c>
      <c r="E1405" s="5" t="s">
        <v>348</v>
      </c>
      <c r="F1405" s="5" t="s">
        <v>14</v>
      </c>
      <c r="G1405" s="6">
        <v>25200</v>
      </c>
      <c r="H1405" s="1398" t="str">
        <f>HYPERLINK("https://adv-map.ru/place/?LINK=632367c09ba1e02556a82d7cd5966ec0","Ссылка")</f>
        <v>Ссылка</v>
      </c>
      <c r="I1405" s="5" t="s">
        <v>1430</v>
      </c>
    </row>
    <row r="1406" spans="1:9" s="4" customFormat="1" ht="38.1" customHeight="1" outlineLevel="1" x14ac:dyDescent="0.2">
      <c r="A1406" s="5" t="s">
        <v>340</v>
      </c>
      <c r="B1406" s="5" t="s">
        <v>365</v>
      </c>
      <c r="C1406" s="5" t="s">
        <v>1429</v>
      </c>
      <c r="D1406" s="5" t="s">
        <v>347</v>
      </c>
      <c r="E1406" s="5" t="s">
        <v>348</v>
      </c>
      <c r="F1406" s="5" t="s">
        <v>16</v>
      </c>
      <c r="G1406" s="6">
        <v>20160</v>
      </c>
      <c r="H1406" s="1399" t="str">
        <f>HYPERLINK("https://adv-map.ru/place/?LINK=a3a76f92016f4b980f8c2e3e516a97c5","Ссылка")</f>
        <v>Ссылка</v>
      </c>
      <c r="I1406" s="5" t="s">
        <v>1430</v>
      </c>
    </row>
    <row r="1407" spans="1:9" s="4" customFormat="1" ht="38.1" customHeight="1" outlineLevel="1" x14ac:dyDescent="0.2">
      <c r="A1407" s="5" t="s">
        <v>340</v>
      </c>
      <c r="B1407" s="5" t="s">
        <v>365</v>
      </c>
      <c r="C1407" s="5" t="s">
        <v>1431</v>
      </c>
      <c r="D1407" s="5" t="s">
        <v>347</v>
      </c>
      <c r="E1407" s="5" t="s">
        <v>348</v>
      </c>
      <c r="F1407" s="5" t="s">
        <v>14</v>
      </c>
      <c r="G1407" s="6">
        <v>25200</v>
      </c>
      <c r="H1407" s="1400" t="str">
        <f>HYPERLINK("https://adv-map.ru/place/?LINK=919d413d48786ec1e04a91da8a85922e","Ссылка")</f>
        <v>Ссылка</v>
      </c>
      <c r="I1407" s="5" t="s">
        <v>1432</v>
      </c>
    </row>
    <row r="1408" spans="1:9" s="4" customFormat="1" ht="38.1" customHeight="1" outlineLevel="1" x14ac:dyDescent="0.2">
      <c r="A1408" s="5" t="s">
        <v>340</v>
      </c>
      <c r="B1408" s="5" t="s">
        <v>365</v>
      </c>
      <c r="C1408" s="5" t="s">
        <v>1431</v>
      </c>
      <c r="D1408" s="5" t="s">
        <v>347</v>
      </c>
      <c r="E1408" s="5" t="s">
        <v>348</v>
      </c>
      <c r="F1408" s="5" t="s">
        <v>16</v>
      </c>
      <c r="G1408" s="6">
        <v>20160</v>
      </c>
      <c r="H1408" s="1401" t="str">
        <f>HYPERLINK("https://adv-map.ru/place/?LINK=ffa54091bdb90af5ac6d04838679ffae","Ссылка")</f>
        <v>Ссылка</v>
      </c>
      <c r="I1408" s="5" t="s">
        <v>1432</v>
      </c>
    </row>
    <row r="1409" spans="1:9" s="4" customFormat="1" ht="38.1" customHeight="1" outlineLevel="1" x14ac:dyDescent="0.2">
      <c r="A1409" s="5" t="s">
        <v>340</v>
      </c>
      <c r="B1409" s="5" t="s">
        <v>365</v>
      </c>
      <c r="C1409" s="5" t="s">
        <v>1433</v>
      </c>
      <c r="D1409" s="5" t="s">
        <v>347</v>
      </c>
      <c r="E1409" s="5" t="s">
        <v>348</v>
      </c>
      <c r="F1409" s="5" t="s">
        <v>14</v>
      </c>
      <c r="G1409" s="6">
        <v>25200</v>
      </c>
      <c r="H1409" s="1402" t="str">
        <f>HYPERLINK("https://adv-map.ru/place/?LINK=069e42cde6dd6e86f68c8c8bb1b9ed25","Ссылка")</f>
        <v>Ссылка</v>
      </c>
      <c r="I1409" s="5" t="s">
        <v>1434</v>
      </c>
    </row>
    <row r="1410" spans="1:9" s="4" customFormat="1" ht="38.1" customHeight="1" outlineLevel="1" x14ac:dyDescent="0.2">
      <c r="A1410" s="5" t="s">
        <v>340</v>
      </c>
      <c r="B1410" s="5" t="s">
        <v>365</v>
      </c>
      <c r="C1410" s="5" t="s">
        <v>1433</v>
      </c>
      <c r="D1410" s="5" t="s">
        <v>347</v>
      </c>
      <c r="E1410" s="5" t="s">
        <v>348</v>
      </c>
      <c r="F1410" s="5" t="s">
        <v>16</v>
      </c>
      <c r="G1410" s="6">
        <v>20160</v>
      </c>
      <c r="H1410" s="1403" t="str">
        <f>HYPERLINK("https://adv-map.ru/place/?LINK=b170472cc338f9670fda7acd3f14b6ec","Ссылка")</f>
        <v>Ссылка</v>
      </c>
      <c r="I1410" s="5" t="s">
        <v>1434</v>
      </c>
    </row>
    <row r="1411" spans="1:9" s="4" customFormat="1" ht="38.1" customHeight="1" outlineLevel="1" x14ac:dyDescent="0.2">
      <c r="A1411" s="5" t="s">
        <v>340</v>
      </c>
      <c r="B1411" s="5" t="s">
        <v>365</v>
      </c>
      <c r="C1411" s="5" t="s">
        <v>1435</v>
      </c>
      <c r="D1411" s="5" t="s">
        <v>347</v>
      </c>
      <c r="E1411" s="5" t="s">
        <v>348</v>
      </c>
      <c r="F1411" s="5" t="s">
        <v>14</v>
      </c>
      <c r="G1411" s="6">
        <v>25200</v>
      </c>
      <c r="H1411" s="1404" t="str">
        <f>HYPERLINK("https://adv-map.ru/place/?LINK=59b8ae0e857a6e097cc71aca63198d2f","Ссылка")</f>
        <v>Ссылка</v>
      </c>
      <c r="I1411" s="5" t="s">
        <v>1436</v>
      </c>
    </row>
    <row r="1412" spans="1:9" s="4" customFormat="1" ht="38.1" customHeight="1" outlineLevel="1" x14ac:dyDescent="0.2">
      <c r="A1412" s="5" t="s">
        <v>340</v>
      </c>
      <c r="B1412" s="5" t="s">
        <v>365</v>
      </c>
      <c r="C1412" s="5" t="s">
        <v>1435</v>
      </c>
      <c r="D1412" s="5" t="s">
        <v>347</v>
      </c>
      <c r="E1412" s="5" t="s">
        <v>348</v>
      </c>
      <c r="F1412" s="5" t="s">
        <v>16</v>
      </c>
      <c r="G1412" s="6">
        <v>20160</v>
      </c>
      <c r="H1412" s="1405" t="str">
        <f>HYPERLINK("https://adv-map.ru/place/?LINK=a8d0a495610733d6a56e85bc9a0df2be","Ссылка")</f>
        <v>Ссылка</v>
      </c>
      <c r="I1412" s="5" t="s">
        <v>1436</v>
      </c>
    </row>
    <row r="1413" spans="1:9" s="4" customFormat="1" ht="51" customHeight="1" outlineLevel="1" x14ac:dyDescent="0.2">
      <c r="A1413" s="5" t="s">
        <v>340</v>
      </c>
      <c r="B1413" s="5" t="s">
        <v>365</v>
      </c>
      <c r="C1413" s="5" t="s">
        <v>1437</v>
      </c>
      <c r="D1413" s="5" t="s">
        <v>347</v>
      </c>
      <c r="E1413" s="5" t="s">
        <v>348</v>
      </c>
      <c r="F1413" s="5" t="s">
        <v>14</v>
      </c>
      <c r="G1413" s="6">
        <v>25200</v>
      </c>
      <c r="H1413" s="1406" t="str">
        <f>HYPERLINK("https://adv-map.ru/place/?LINK=9379cd321884106b6a2d0d34b1265aaa","Ссылка")</f>
        <v>Ссылка</v>
      </c>
      <c r="I1413" s="5" t="s">
        <v>1438</v>
      </c>
    </row>
    <row r="1414" spans="1:9" s="4" customFormat="1" ht="38.1" customHeight="1" outlineLevel="1" x14ac:dyDescent="0.2">
      <c r="A1414" s="5" t="s">
        <v>340</v>
      </c>
      <c r="B1414" s="5" t="s">
        <v>365</v>
      </c>
      <c r="C1414" s="5" t="s">
        <v>1437</v>
      </c>
      <c r="D1414" s="5" t="s">
        <v>347</v>
      </c>
      <c r="E1414" s="5" t="s">
        <v>348</v>
      </c>
      <c r="F1414" s="5" t="s">
        <v>16</v>
      </c>
      <c r="G1414" s="6">
        <v>20160</v>
      </c>
      <c r="H1414" s="1407" t="str">
        <f>HYPERLINK("https://adv-map.ru/place/?LINK=cfae88a4e90c3d24351b9cfcd8f357e6","Ссылка")</f>
        <v>Ссылка</v>
      </c>
      <c r="I1414" s="5" t="s">
        <v>1438</v>
      </c>
    </row>
    <row r="1415" spans="1:9" s="4" customFormat="1" ht="51" customHeight="1" outlineLevel="1" x14ac:dyDescent="0.2">
      <c r="A1415" s="5" t="s">
        <v>340</v>
      </c>
      <c r="B1415" s="5" t="s">
        <v>354</v>
      </c>
      <c r="C1415" s="5" t="s">
        <v>1439</v>
      </c>
      <c r="D1415" s="5" t="s">
        <v>12</v>
      </c>
      <c r="E1415" s="5" t="s">
        <v>13</v>
      </c>
      <c r="F1415" s="5" t="s">
        <v>14</v>
      </c>
      <c r="G1415" s="6">
        <v>37800</v>
      </c>
      <c r="H1415" s="1408" t="str">
        <f>HYPERLINK("https://adv-map.ru/place/?LINK=849a4594898790144b32a94400e7986b","Ссылка")</f>
        <v>Ссылка</v>
      </c>
      <c r="I1415" s="5" t="s">
        <v>1440</v>
      </c>
    </row>
    <row r="1416" spans="1:9" s="4" customFormat="1" ht="38.1" customHeight="1" outlineLevel="1" x14ac:dyDescent="0.2">
      <c r="A1416" s="5" t="s">
        <v>340</v>
      </c>
      <c r="B1416" s="5" t="s">
        <v>354</v>
      </c>
      <c r="C1416" s="5" t="s">
        <v>1439</v>
      </c>
      <c r="D1416" s="5" t="s">
        <v>12</v>
      </c>
      <c r="E1416" s="5" t="s">
        <v>13</v>
      </c>
      <c r="F1416" s="5" t="s">
        <v>16</v>
      </c>
      <c r="G1416" s="6">
        <v>25200</v>
      </c>
      <c r="H1416" s="1409" t="str">
        <f>HYPERLINK("https://adv-map.ru/place/?LINK=6cdff118ee73b19dad32f72c05c1c4c5","Ссылка")</f>
        <v>Ссылка</v>
      </c>
      <c r="I1416" s="5" t="s">
        <v>1440</v>
      </c>
    </row>
    <row r="1417" spans="1:9" s="4" customFormat="1" ht="38.1" customHeight="1" outlineLevel="1" x14ac:dyDescent="0.2">
      <c r="A1417" s="5" t="s">
        <v>340</v>
      </c>
      <c r="B1417" s="5" t="s">
        <v>354</v>
      </c>
      <c r="C1417" s="5" t="s">
        <v>1441</v>
      </c>
      <c r="D1417" s="5" t="s">
        <v>12</v>
      </c>
      <c r="E1417" s="5" t="s">
        <v>13</v>
      </c>
      <c r="F1417" s="5" t="s">
        <v>14</v>
      </c>
      <c r="G1417" s="6">
        <v>37800</v>
      </c>
      <c r="H1417" s="1410" t="str">
        <f>HYPERLINK("https://adv-map.ru/place/?LINK=8d76be33fa761c571e8a9a5aca323351","Ссылка")</f>
        <v>Ссылка</v>
      </c>
      <c r="I1417" s="5" t="s">
        <v>1442</v>
      </c>
    </row>
    <row r="1418" spans="1:9" s="4" customFormat="1" ht="38.1" customHeight="1" outlineLevel="1" x14ac:dyDescent="0.2">
      <c r="A1418" s="5" t="s">
        <v>340</v>
      </c>
      <c r="B1418" s="5" t="s">
        <v>354</v>
      </c>
      <c r="C1418" s="5" t="s">
        <v>1441</v>
      </c>
      <c r="D1418" s="5" t="s">
        <v>12</v>
      </c>
      <c r="E1418" s="5" t="s">
        <v>13</v>
      </c>
      <c r="F1418" s="5" t="s">
        <v>16</v>
      </c>
      <c r="G1418" s="6">
        <v>25200</v>
      </c>
      <c r="H1418" s="1411" t="str">
        <f>HYPERLINK("https://adv-map.ru/place/?LINK=9f63addb9e6dc96e5829466bea76ceaf","Ссылка")</f>
        <v>Ссылка</v>
      </c>
      <c r="I1418" s="5" t="s">
        <v>1442</v>
      </c>
    </row>
    <row r="1419" spans="1:9" s="4" customFormat="1" ht="38.1" customHeight="1" outlineLevel="1" x14ac:dyDescent="0.2">
      <c r="A1419" s="5" t="s">
        <v>340</v>
      </c>
      <c r="B1419" s="5" t="s">
        <v>354</v>
      </c>
      <c r="C1419" s="5" t="s">
        <v>1443</v>
      </c>
      <c r="D1419" s="5" t="s">
        <v>12</v>
      </c>
      <c r="E1419" s="5" t="s">
        <v>13</v>
      </c>
      <c r="F1419" s="5" t="s">
        <v>14</v>
      </c>
      <c r="G1419" s="6">
        <v>37800</v>
      </c>
      <c r="H1419" s="1412" t="str">
        <f>HYPERLINK("https://adv-map.ru/place/?LINK=3699e9e5a1a8eff876f0aa795beeb3a7","Ссылка")</f>
        <v>Ссылка</v>
      </c>
      <c r="I1419" s="5" t="s">
        <v>1444</v>
      </c>
    </row>
    <row r="1420" spans="1:9" s="4" customFormat="1" ht="38.1" customHeight="1" outlineLevel="1" x14ac:dyDescent="0.2">
      <c r="A1420" s="5" t="s">
        <v>340</v>
      </c>
      <c r="B1420" s="5" t="s">
        <v>354</v>
      </c>
      <c r="C1420" s="5" t="s">
        <v>1443</v>
      </c>
      <c r="D1420" s="5" t="s">
        <v>12</v>
      </c>
      <c r="E1420" s="5" t="s">
        <v>13</v>
      </c>
      <c r="F1420" s="5" t="s">
        <v>16</v>
      </c>
      <c r="G1420" s="6">
        <v>25200</v>
      </c>
      <c r="H1420" s="1413" t="str">
        <f>HYPERLINK("https://adv-map.ru/place/?LINK=b9ae1b2805ccfdcc92ec211b84479259","Ссылка")</f>
        <v>Ссылка</v>
      </c>
      <c r="I1420" s="5" t="s">
        <v>1444</v>
      </c>
    </row>
    <row r="1421" spans="1:9" s="4" customFormat="1" ht="38.1" customHeight="1" outlineLevel="1" x14ac:dyDescent="0.2">
      <c r="A1421" s="5" t="s">
        <v>340</v>
      </c>
      <c r="B1421" s="5" t="s">
        <v>354</v>
      </c>
      <c r="C1421" s="5" t="s">
        <v>1445</v>
      </c>
      <c r="D1421" s="5" t="s">
        <v>12</v>
      </c>
      <c r="E1421" s="5" t="s">
        <v>13</v>
      </c>
      <c r="F1421" s="5" t="s">
        <v>14</v>
      </c>
      <c r="G1421" s="6">
        <v>37800</v>
      </c>
      <c r="H1421" s="1414" t="str">
        <f>HYPERLINK("https://adv-map.ru/place/?LINK=a3c9b3974b5dccdfebe2728402c676d9","Ссылка")</f>
        <v>Ссылка</v>
      </c>
      <c r="I1421" s="5" t="s">
        <v>1446</v>
      </c>
    </row>
    <row r="1422" spans="1:9" s="4" customFormat="1" ht="38.1" customHeight="1" outlineLevel="1" x14ac:dyDescent="0.2">
      <c r="A1422" s="5" t="s">
        <v>340</v>
      </c>
      <c r="B1422" s="5" t="s">
        <v>354</v>
      </c>
      <c r="C1422" s="5" t="s">
        <v>1445</v>
      </c>
      <c r="D1422" s="5" t="s">
        <v>12</v>
      </c>
      <c r="E1422" s="5" t="s">
        <v>13</v>
      </c>
      <c r="F1422" s="5" t="s">
        <v>16</v>
      </c>
      <c r="G1422" s="6">
        <v>25200</v>
      </c>
      <c r="H1422" s="1415" t="str">
        <f>HYPERLINK("https://adv-map.ru/place/?LINK=89af9e83f0a69a89883d84670b1467e9","Ссылка")</f>
        <v>Ссылка</v>
      </c>
      <c r="I1422" s="5" t="s">
        <v>1446</v>
      </c>
    </row>
    <row r="1423" spans="1:9" s="4" customFormat="1" ht="51" customHeight="1" outlineLevel="1" x14ac:dyDescent="0.2">
      <c r="A1423" s="5" t="s">
        <v>340</v>
      </c>
      <c r="B1423" s="5" t="s">
        <v>354</v>
      </c>
      <c r="C1423" s="5" t="s">
        <v>1447</v>
      </c>
      <c r="D1423" s="5" t="s">
        <v>12</v>
      </c>
      <c r="E1423" s="5" t="s">
        <v>13</v>
      </c>
      <c r="F1423" s="5" t="s">
        <v>14</v>
      </c>
      <c r="G1423" s="6">
        <v>37800</v>
      </c>
      <c r="H1423" s="1416" t="str">
        <f>HYPERLINK("https://adv-map.ru/place/?LINK=be164a562fe0abbd91920ee22a841276","Ссылка")</f>
        <v>Ссылка</v>
      </c>
      <c r="I1423" s="5" t="s">
        <v>1448</v>
      </c>
    </row>
    <row r="1424" spans="1:9" s="4" customFormat="1" ht="38.1" customHeight="1" outlineLevel="1" x14ac:dyDescent="0.2">
      <c r="A1424" s="5" t="s">
        <v>340</v>
      </c>
      <c r="B1424" s="5" t="s">
        <v>354</v>
      </c>
      <c r="C1424" s="5" t="s">
        <v>1447</v>
      </c>
      <c r="D1424" s="5" t="s">
        <v>12</v>
      </c>
      <c r="E1424" s="5" t="s">
        <v>13</v>
      </c>
      <c r="F1424" s="5" t="s">
        <v>16</v>
      </c>
      <c r="G1424" s="6">
        <v>25200</v>
      </c>
      <c r="H1424" s="1417" t="str">
        <f>HYPERLINK("https://adv-map.ru/place/?LINK=9a83d5f88d5a75bcf3e5156d0917eed2","Ссылка")</f>
        <v>Ссылка</v>
      </c>
      <c r="I1424" s="5" t="s">
        <v>1448</v>
      </c>
    </row>
    <row r="1425" spans="1:9" s="4" customFormat="1" ht="38.1" customHeight="1" outlineLevel="1" x14ac:dyDescent="0.2">
      <c r="A1425" s="5" t="s">
        <v>340</v>
      </c>
      <c r="B1425" s="5" t="s">
        <v>354</v>
      </c>
      <c r="C1425" s="5" t="s">
        <v>1449</v>
      </c>
      <c r="D1425" s="5" t="s">
        <v>12</v>
      </c>
      <c r="E1425" s="5" t="s">
        <v>13</v>
      </c>
      <c r="F1425" s="5" t="s">
        <v>14</v>
      </c>
      <c r="G1425" s="6">
        <v>37800</v>
      </c>
      <c r="H1425" s="1418" t="str">
        <f>HYPERLINK("https://adv-map.ru/place/?LINK=9ebecfef125b91ea8d8269e85ef078b1","Ссылка")</f>
        <v>Ссылка</v>
      </c>
      <c r="I1425" s="5" t="s">
        <v>1450</v>
      </c>
    </row>
    <row r="1426" spans="1:9" s="4" customFormat="1" ht="38.1" customHeight="1" outlineLevel="1" x14ac:dyDescent="0.2">
      <c r="A1426" s="5" t="s">
        <v>340</v>
      </c>
      <c r="B1426" s="5" t="s">
        <v>354</v>
      </c>
      <c r="C1426" s="5" t="s">
        <v>1449</v>
      </c>
      <c r="D1426" s="5" t="s">
        <v>12</v>
      </c>
      <c r="E1426" s="5" t="s">
        <v>13</v>
      </c>
      <c r="F1426" s="5" t="s">
        <v>16</v>
      </c>
      <c r="G1426" s="6">
        <v>25200</v>
      </c>
      <c r="H1426" s="1419" t="str">
        <f>HYPERLINK("https://adv-map.ru/place/?LINK=6fdc08f01ff9e3985681423609affb02","Ссылка")</f>
        <v>Ссылка</v>
      </c>
      <c r="I1426" s="5" t="s">
        <v>1450</v>
      </c>
    </row>
    <row r="1427" spans="1:9" s="4" customFormat="1" ht="38.1" customHeight="1" outlineLevel="1" x14ac:dyDescent="0.2">
      <c r="A1427" s="5" t="s">
        <v>340</v>
      </c>
      <c r="B1427" s="5" t="s">
        <v>354</v>
      </c>
      <c r="C1427" s="5" t="s">
        <v>1451</v>
      </c>
      <c r="D1427" s="5" t="s">
        <v>347</v>
      </c>
      <c r="E1427" s="5" t="s">
        <v>348</v>
      </c>
      <c r="F1427" s="5" t="s">
        <v>14</v>
      </c>
      <c r="G1427" s="6">
        <v>20160</v>
      </c>
      <c r="H1427" s="1420" t="str">
        <f>HYPERLINK("https://adv-map.ru/place/?LINK=f3e6570ea7c66789601d214316c71822","Ссылка")</f>
        <v>Ссылка</v>
      </c>
      <c r="I1427" s="5" t="s">
        <v>1452</v>
      </c>
    </row>
    <row r="1428" spans="1:9" s="4" customFormat="1" ht="38.1" customHeight="1" outlineLevel="1" x14ac:dyDescent="0.2">
      <c r="A1428" s="5" t="s">
        <v>340</v>
      </c>
      <c r="B1428" s="5" t="s">
        <v>354</v>
      </c>
      <c r="C1428" s="5" t="s">
        <v>1451</v>
      </c>
      <c r="D1428" s="5" t="s">
        <v>347</v>
      </c>
      <c r="E1428" s="5" t="s">
        <v>348</v>
      </c>
      <c r="F1428" s="5" t="s">
        <v>16</v>
      </c>
      <c r="G1428" s="6">
        <v>15120</v>
      </c>
      <c r="H1428" s="1421" t="str">
        <f>HYPERLINK("https://adv-map.ru/place/?LINK=3c7bb6c4a90e32633342913e0a0f9dc6","Ссылка")</f>
        <v>Ссылка</v>
      </c>
      <c r="I1428" s="5" t="s">
        <v>1453</v>
      </c>
    </row>
    <row r="1429" spans="1:9" s="4" customFormat="1" ht="38.1" customHeight="1" outlineLevel="1" x14ac:dyDescent="0.2">
      <c r="A1429" s="5" t="s">
        <v>340</v>
      </c>
      <c r="B1429" s="5" t="s">
        <v>354</v>
      </c>
      <c r="C1429" s="5" t="s">
        <v>1454</v>
      </c>
      <c r="D1429" s="5" t="s">
        <v>12</v>
      </c>
      <c r="E1429" s="5" t="s">
        <v>13</v>
      </c>
      <c r="F1429" s="5" t="s">
        <v>14</v>
      </c>
      <c r="G1429" s="6">
        <v>37800</v>
      </c>
      <c r="H1429" s="1422" t="str">
        <f>HYPERLINK("https://adv-map.ru/place/?LINK=5261ec3263a9ee813ecd6d3588115ca8","Ссылка")</f>
        <v>Ссылка</v>
      </c>
      <c r="I1429" s="5" t="s">
        <v>1455</v>
      </c>
    </row>
    <row r="1430" spans="1:9" s="4" customFormat="1" ht="38.1" customHeight="1" outlineLevel="1" x14ac:dyDescent="0.2">
      <c r="A1430" s="5" t="s">
        <v>340</v>
      </c>
      <c r="B1430" s="5" t="s">
        <v>354</v>
      </c>
      <c r="C1430" s="5" t="s">
        <v>1456</v>
      </c>
      <c r="D1430" s="5" t="s">
        <v>12</v>
      </c>
      <c r="E1430" s="5" t="s">
        <v>13</v>
      </c>
      <c r="F1430" s="5" t="s">
        <v>14</v>
      </c>
      <c r="G1430" s="6">
        <v>37800</v>
      </c>
      <c r="H1430" s="1423" t="str">
        <f>HYPERLINK("https://adv-map.ru/place/?LINK=38037489111fbe6c04a52903b9f62415","Ссылка")</f>
        <v>Ссылка</v>
      </c>
      <c r="I1430" s="5" t="s">
        <v>1457</v>
      </c>
    </row>
    <row r="1431" spans="1:9" s="4" customFormat="1" ht="38.1" customHeight="1" outlineLevel="1" x14ac:dyDescent="0.2">
      <c r="A1431" s="5" t="s">
        <v>340</v>
      </c>
      <c r="B1431" s="5" t="s">
        <v>354</v>
      </c>
      <c r="C1431" s="5" t="s">
        <v>1456</v>
      </c>
      <c r="D1431" s="5" t="s">
        <v>12</v>
      </c>
      <c r="E1431" s="5" t="s">
        <v>13</v>
      </c>
      <c r="F1431" s="5" t="s">
        <v>16</v>
      </c>
      <c r="G1431" s="6">
        <v>25200</v>
      </c>
      <c r="H1431" s="1424" t="str">
        <f>HYPERLINK("https://adv-map.ru/place/?LINK=29f87ede5240c2f031da8471c9c7d4d6","Ссылка")</f>
        <v>Ссылка</v>
      </c>
      <c r="I1431" s="5" t="s">
        <v>1457</v>
      </c>
    </row>
    <row r="1432" spans="1:9" s="4" customFormat="1" ht="38.1" customHeight="1" outlineLevel="1" x14ac:dyDescent="0.2">
      <c r="A1432" s="5" t="s">
        <v>340</v>
      </c>
      <c r="B1432" s="5" t="s">
        <v>354</v>
      </c>
      <c r="C1432" s="5" t="s">
        <v>1458</v>
      </c>
      <c r="D1432" s="5" t="s">
        <v>347</v>
      </c>
      <c r="E1432" s="5" t="s">
        <v>348</v>
      </c>
      <c r="F1432" s="5" t="s">
        <v>14</v>
      </c>
      <c r="G1432" s="6">
        <v>20160</v>
      </c>
      <c r="H1432" s="1425" t="str">
        <f>HYPERLINK("https://adv-map.ru/place/?LINK=c2a3f5fc27e2e3d8bf23ae21f99b8164","Ссылка")</f>
        <v>Ссылка</v>
      </c>
      <c r="I1432" s="5" t="s">
        <v>1459</v>
      </c>
    </row>
    <row r="1433" spans="1:9" s="4" customFormat="1" ht="38.1" customHeight="1" outlineLevel="1" x14ac:dyDescent="0.2">
      <c r="A1433" s="5" t="s">
        <v>340</v>
      </c>
      <c r="B1433" s="5" t="s">
        <v>354</v>
      </c>
      <c r="C1433" s="5" t="s">
        <v>1458</v>
      </c>
      <c r="D1433" s="5" t="s">
        <v>347</v>
      </c>
      <c r="E1433" s="5" t="s">
        <v>348</v>
      </c>
      <c r="F1433" s="5" t="s">
        <v>16</v>
      </c>
      <c r="G1433" s="6">
        <v>15120</v>
      </c>
      <c r="H1433" s="1426" t="str">
        <f>HYPERLINK("https://adv-map.ru/place/?LINK=7f9f6f5e6f395f41ee1240170661cb9f","Ссылка")</f>
        <v>Ссылка</v>
      </c>
      <c r="I1433" s="5" t="s">
        <v>1460</v>
      </c>
    </row>
    <row r="1434" spans="1:9" s="4" customFormat="1" ht="38.1" customHeight="1" outlineLevel="1" x14ac:dyDescent="0.2">
      <c r="A1434" s="5" t="s">
        <v>340</v>
      </c>
      <c r="B1434" s="5" t="s">
        <v>354</v>
      </c>
      <c r="C1434" s="5" t="s">
        <v>1461</v>
      </c>
      <c r="D1434" s="5" t="s">
        <v>49</v>
      </c>
      <c r="E1434" s="5" t="s">
        <v>13</v>
      </c>
      <c r="F1434" s="5" t="s">
        <v>28</v>
      </c>
      <c r="G1434" s="6">
        <v>44100</v>
      </c>
      <c r="H1434" s="1427" t="str">
        <f>HYPERLINK("https://adv-map.ru/place/?LINK=d7e0233e0047606e7d6471e875feade6","Ссылка")</f>
        <v>Ссылка</v>
      </c>
      <c r="I1434" s="5" t="s">
        <v>1462</v>
      </c>
    </row>
    <row r="1435" spans="1:9" s="4" customFormat="1" ht="38.1" customHeight="1" outlineLevel="1" x14ac:dyDescent="0.2">
      <c r="A1435" s="5" t="s">
        <v>340</v>
      </c>
      <c r="B1435" s="5" t="s">
        <v>354</v>
      </c>
      <c r="C1435" s="5" t="s">
        <v>1461</v>
      </c>
      <c r="D1435" s="5" t="s">
        <v>49</v>
      </c>
      <c r="E1435" s="5" t="s">
        <v>13</v>
      </c>
      <c r="F1435" s="5" t="s">
        <v>30</v>
      </c>
      <c r="G1435" s="6">
        <v>44100</v>
      </c>
      <c r="H1435" s="1428" t="str">
        <f>HYPERLINK("https://adv-map.ru/place/?LINK=4c0023f0d4e1d3b29ed3416f798fcd1e","Ссылка")</f>
        <v>Ссылка</v>
      </c>
      <c r="I1435" s="5" t="s">
        <v>1462</v>
      </c>
    </row>
    <row r="1436" spans="1:9" s="4" customFormat="1" ht="38.1" customHeight="1" outlineLevel="1" x14ac:dyDescent="0.2">
      <c r="A1436" s="5" t="s">
        <v>340</v>
      </c>
      <c r="B1436" s="5" t="s">
        <v>354</v>
      </c>
      <c r="C1436" s="5" t="s">
        <v>1461</v>
      </c>
      <c r="D1436" s="5" t="s">
        <v>49</v>
      </c>
      <c r="E1436" s="5" t="s">
        <v>13</v>
      </c>
      <c r="F1436" s="5" t="s">
        <v>33</v>
      </c>
      <c r="G1436" s="6">
        <v>39900</v>
      </c>
      <c r="H1436" s="1429" t="str">
        <f>HYPERLINK("https://adv-map.ru/place/?LINK=9cef2e6dca0214a734369f58078c1435","Ссылка")</f>
        <v>Ссылка</v>
      </c>
      <c r="I1436" s="5" t="s">
        <v>1462</v>
      </c>
    </row>
    <row r="1437" spans="1:9" s="4" customFormat="1" ht="38.1" customHeight="1" outlineLevel="1" x14ac:dyDescent="0.2">
      <c r="A1437" s="5" t="s">
        <v>340</v>
      </c>
      <c r="B1437" s="5" t="s">
        <v>354</v>
      </c>
      <c r="C1437" s="5" t="s">
        <v>1463</v>
      </c>
      <c r="D1437" s="5" t="s">
        <v>347</v>
      </c>
      <c r="E1437" s="5" t="s">
        <v>348</v>
      </c>
      <c r="F1437" s="5" t="s">
        <v>14</v>
      </c>
      <c r="G1437" s="6">
        <v>20160</v>
      </c>
      <c r="H1437" s="1430" t="str">
        <f>HYPERLINK("https://adv-map.ru/place/?LINK=b708414a8f49abb215f4dd73db6b5d09","Ссылка")</f>
        <v>Ссылка</v>
      </c>
      <c r="I1437" s="5" t="s">
        <v>1464</v>
      </c>
    </row>
    <row r="1438" spans="1:9" s="4" customFormat="1" ht="38.1" customHeight="1" outlineLevel="1" x14ac:dyDescent="0.2">
      <c r="A1438" s="5" t="s">
        <v>340</v>
      </c>
      <c r="B1438" s="5" t="s">
        <v>354</v>
      </c>
      <c r="C1438" s="5" t="s">
        <v>1463</v>
      </c>
      <c r="D1438" s="5" t="s">
        <v>347</v>
      </c>
      <c r="E1438" s="5" t="s">
        <v>348</v>
      </c>
      <c r="F1438" s="5" t="s">
        <v>16</v>
      </c>
      <c r="G1438" s="6">
        <v>15120</v>
      </c>
      <c r="H1438" s="1431" t="str">
        <f>HYPERLINK("https://adv-map.ru/place/?LINK=dc532522f3075357e0e9467557bfc3a1","Ссылка")</f>
        <v>Ссылка</v>
      </c>
      <c r="I1438" s="5" t="s">
        <v>1465</v>
      </c>
    </row>
    <row r="1439" spans="1:9" s="4" customFormat="1" ht="38.1" customHeight="1" outlineLevel="1" x14ac:dyDescent="0.2">
      <c r="A1439" s="5" t="s">
        <v>340</v>
      </c>
      <c r="B1439" s="5" t="s">
        <v>354</v>
      </c>
      <c r="C1439" s="5" t="s">
        <v>1466</v>
      </c>
      <c r="D1439" s="5" t="s">
        <v>405</v>
      </c>
      <c r="E1439" s="5" t="s">
        <v>348</v>
      </c>
      <c r="F1439" s="5" t="s">
        <v>14</v>
      </c>
      <c r="G1439" s="6">
        <v>25200</v>
      </c>
      <c r="H1439" s="1432" t="str">
        <f>HYPERLINK("https://adv-map.ru/place/?LINK=c54c3e9b2c5e137e5e88fff1ab2cd98b","Ссылка")</f>
        <v>Ссылка</v>
      </c>
      <c r="I1439" s="5" t="s">
        <v>1467</v>
      </c>
    </row>
    <row r="1440" spans="1:9" s="4" customFormat="1" ht="38.1" customHeight="1" outlineLevel="1" x14ac:dyDescent="0.2">
      <c r="A1440" s="5" t="s">
        <v>340</v>
      </c>
      <c r="B1440" s="5" t="s">
        <v>354</v>
      </c>
      <c r="C1440" s="5" t="s">
        <v>1466</v>
      </c>
      <c r="D1440" s="5" t="s">
        <v>405</v>
      </c>
      <c r="E1440" s="5" t="s">
        <v>348</v>
      </c>
      <c r="F1440" s="5" t="s">
        <v>16</v>
      </c>
      <c r="G1440" s="6">
        <v>20160</v>
      </c>
      <c r="H1440" s="1433" t="str">
        <f>HYPERLINK("https://adv-map.ru/place/?LINK=0a3cde254330aea6ebf0730556055ff9","Ссылка")</f>
        <v>Ссылка</v>
      </c>
      <c r="I1440" s="5" t="s">
        <v>1467</v>
      </c>
    </row>
    <row r="1441" spans="1:9" s="4" customFormat="1" ht="38.1" customHeight="1" outlineLevel="1" x14ac:dyDescent="0.2">
      <c r="A1441" s="5" t="s">
        <v>340</v>
      </c>
      <c r="B1441" s="5" t="s">
        <v>354</v>
      </c>
      <c r="C1441" s="5" t="s">
        <v>1468</v>
      </c>
      <c r="D1441" s="5" t="s">
        <v>12</v>
      </c>
      <c r="E1441" s="5" t="s">
        <v>13</v>
      </c>
      <c r="F1441" s="5" t="s">
        <v>14</v>
      </c>
      <c r="G1441" s="6">
        <v>37800</v>
      </c>
      <c r="H1441" s="1434" t="str">
        <f>HYPERLINK("https://adv-map.ru/place/?LINK=7714c25203a01fb816c74623ec91e90a","Ссылка")</f>
        <v>Ссылка</v>
      </c>
      <c r="I1441" s="5" t="s">
        <v>1469</v>
      </c>
    </row>
    <row r="1442" spans="1:9" s="4" customFormat="1" ht="38.1" customHeight="1" outlineLevel="1" x14ac:dyDescent="0.2">
      <c r="A1442" s="5" t="s">
        <v>340</v>
      </c>
      <c r="B1442" s="5" t="s">
        <v>354</v>
      </c>
      <c r="C1442" s="5" t="s">
        <v>1468</v>
      </c>
      <c r="D1442" s="5" t="s">
        <v>12</v>
      </c>
      <c r="E1442" s="5" t="s">
        <v>13</v>
      </c>
      <c r="F1442" s="5" t="s">
        <v>16</v>
      </c>
      <c r="G1442" s="6">
        <v>25200</v>
      </c>
      <c r="H1442" s="1435" t="str">
        <f>HYPERLINK("https://adv-map.ru/place/?LINK=0afed1417e7336014525c75f9f16126a","Ссылка")</f>
        <v>Ссылка</v>
      </c>
      <c r="I1442" s="5" t="s">
        <v>1469</v>
      </c>
    </row>
    <row r="1443" spans="1:9" s="4" customFormat="1" ht="38.1" customHeight="1" outlineLevel="1" x14ac:dyDescent="0.2">
      <c r="A1443" s="5" t="s">
        <v>340</v>
      </c>
      <c r="B1443" s="5" t="s">
        <v>354</v>
      </c>
      <c r="C1443" s="5" t="s">
        <v>1470</v>
      </c>
      <c r="D1443" s="5" t="s">
        <v>347</v>
      </c>
      <c r="E1443" s="5" t="s">
        <v>348</v>
      </c>
      <c r="F1443" s="5" t="s">
        <v>14</v>
      </c>
      <c r="G1443" s="6">
        <v>20160</v>
      </c>
      <c r="H1443" s="1436" t="str">
        <f>HYPERLINK("https://adv-map.ru/place/?LINK=64132aa312fc76fe6ef528297651e258","Ссылка")</f>
        <v>Ссылка</v>
      </c>
      <c r="I1443" s="5" t="s">
        <v>1471</v>
      </c>
    </row>
    <row r="1444" spans="1:9" s="4" customFormat="1" ht="38.1" customHeight="1" outlineLevel="1" x14ac:dyDescent="0.2">
      <c r="A1444" s="5" t="s">
        <v>340</v>
      </c>
      <c r="B1444" s="5" t="s">
        <v>354</v>
      </c>
      <c r="C1444" s="5" t="s">
        <v>1470</v>
      </c>
      <c r="D1444" s="5" t="s">
        <v>347</v>
      </c>
      <c r="E1444" s="5" t="s">
        <v>348</v>
      </c>
      <c r="F1444" s="5" t="s">
        <v>16</v>
      </c>
      <c r="G1444" s="6">
        <v>15120</v>
      </c>
      <c r="H1444" s="1437" t="str">
        <f>HYPERLINK("https://adv-map.ru/place/?LINK=5e5011457dad4154788dde6acb8a1a7a","Ссылка")</f>
        <v>Ссылка</v>
      </c>
      <c r="I1444" s="5" t="s">
        <v>1471</v>
      </c>
    </row>
    <row r="1445" spans="1:9" s="4" customFormat="1" ht="38.1" customHeight="1" outlineLevel="1" x14ac:dyDescent="0.2">
      <c r="A1445" s="5" t="s">
        <v>340</v>
      </c>
      <c r="B1445" s="5" t="s">
        <v>354</v>
      </c>
      <c r="C1445" s="5" t="s">
        <v>1472</v>
      </c>
      <c r="D1445" s="5" t="s">
        <v>12</v>
      </c>
      <c r="E1445" s="5" t="s">
        <v>13</v>
      </c>
      <c r="F1445" s="5" t="s">
        <v>14</v>
      </c>
      <c r="G1445" s="6">
        <v>37800</v>
      </c>
      <c r="H1445" s="1438" t="str">
        <f>HYPERLINK("https://adv-map.ru/place/?LINK=1a9de56bae02eea841b469ea36db0d3c","Ссылка")</f>
        <v>Ссылка</v>
      </c>
      <c r="I1445" s="5" t="s">
        <v>1473</v>
      </c>
    </row>
    <row r="1446" spans="1:9" s="4" customFormat="1" ht="51" customHeight="1" outlineLevel="1" x14ac:dyDescent="0.2">
      <c r="A1446" s="5" t="s">
        <v>340</v>
      </c>
      <c r="B1446" s="5" t="s">
        <v>354</v>
      </c>
      <c r="C1446" s="5" t="s">
        <v>1472</v>
      </c>
      <c r="D1446" s="5" t="s">
        <v>12</v>
      </c>
      <c r="E1446" s="5" t="s">
        <v>13</v>
      </c>
      <c r="F1446" s="5" t="s">
        <v>16</v>
      </c>
      <c r="G1446" s="6">
        <v>25200</v>
      </c>
      <c r="H1446" s="1439" t="str">
        <f>HYPERLINK("https://adv-map.ru/place/?LINK=73a8aa74ad5ca832b45e35893d71eda4","Ссылка")</f>
        <v>Ссылка</v>
      </c>
      <c r="I1446" s="5" t="s">
        <v>1473</v>
      </c>
    </row>
    <row r="1447" spans="1:9" s="4" customFormat="1" ht="38.1" customHeight="1" outlineLevel="1" x14ac:dyDescent="0.2">
      <c r="A1447" s="5" t="s">
        <v>340</v>
      </c>
      <c r="B1447" s="5" t="s">
        <v>134</v>
      </c>
      <c r="C1447" s="5" t="s">
        <v>1474</v>
      </c>
      <c r="D1447" s="5" t="s">
        <v>405</v>
      </c>
      <c r="E1447" s="5" t="s">
        <v>348</v>
      </c>
      <c r="F1447" s="5" t="s">
        <v>14</v>
      </c>
      <c r="G1447" s="6">
        <v>30240</v>
      </c>
      <c r="H1447" s="1440" t="str">
        <f>HYPERLINK("https://adv-map.ru/place/?LINK=d7bae8fc40ee0cb900bcbb57cb39e995","Ссылка")</f>
        <v>Ссылка</v>
      </c>
      <c r="I1447" s="5" t="s">
        <v>1475</v>
      </c>
    </row>
    <row r="1448" spans="1:9" s="4" customFormat="1" ht="51" customHeight="1" outlineLevel="1" x14ac:dyDescent="0.2">
      <c r="A1448" s="5" t="s">
        <v>340</v>
      </c>
      <c r="B1448" s="5" t="s">
        <v>134</v>
      </c>
      <c r="C1448" s="5" t="s">
        <v>1474</v>
      </c>
      <c r="D1448" s="5" t="s">
        <v>405</v>
      </c>
      <c r="E1448" s="5" t="s">
        <v>348</v>
      </c>
      <c r="F1448" s="5" t="s">
        <v>16</v>
      </c>
      <c r="G1448" s="6">
        <v>25200</v>
      </c>
      <c r="H1448" s="1441" t="str">
        <f>HYPERLINK("https://adv-map.ru/place/?LINK=a97325fb6182d41e48b877537d1b45e8","Ссылка")</f>
        <v>Ссылка</v>
      </c>
      <c r="I1448" s="5" t="s">
        <v>1475</v>
      </c>
    </row>
    <row r="1449" spans="1:9" s="4" customFormat="1" ht="38.1" customHeight="1" outlineLevel="1" x14ac:dyDescent="0.2">
      <c r="A1449" s="5" t="s">
        <v>340</v>
      </c>
      <c r="B1449" s="5" t="s">
        <v>134</v>
      </c>
      <c r="C1449" s="5" t="s">
        <v>1476</v>
      </c>
      <c r="D1449" s="5" t="s">
        <v>405</v>
      </c>
      <c r="E1449" s="5" t="s">
        <v>348</v>
      </c>
      <c r="F1449" s="5" t="s">
        <v>14</v>
      </c>
      <c r="G1449" s="6">
        <v>30240</v>
      </c>
      <c r="H1449" s="1442" t="str">
        <f>HYPERLINK("https://adv-map.ru/place/?LINK=9f5a8241c91e3d7f225681a14cf83b09","Ссылка")</f>
        <v>Ссылка</v>
      </c>
      <c r="I1449" s="5" t="s">
        <v>1477</v>
      </c>
    </row>
    <row r="1450" spans="1:9" s="4" customFormat="1" ht="38.1" customHeight="1" outlineLevel="1" x14ac:dyDescent="0.2">
      <c r="A1450" s="5" t="s">
        <v>340</v>
      </c>
      <c r="B1450" s="5" t="s">
        <v>134</v>
      </c>
      <c r="C1450" s="5" t="s">
        <v>1476</v>
      </c>
      <c r="D1450" s="5" t="s">
        <v>405</v>
      </c>
      <c r="E1450" s="5" t="s">
        <v>348</v>
      </c>
      <c r="F1450" s="5" t="s">
        <v>16</v>
      </c>
      <c r="G1450" s="6">
        <v>25200</v>
      </c>
      <c r="H1450" s="1443" t="str">
        <f>HYPERLINK("https://adv-map.ru/place/?LINK=611d6e44352a808cba7090ba068338a5","Ссылка")</f>
        <v>Ссылка</v>
      </c>
      <c r="I1450" s="5" t="s">
        <v>1477</v>
      </c>
    </row>
    <row r="1451" spans="1:9" s="4" customFormat="1" ht="38.1" customHeight="1" outlineLevel="1" x14ac:dyDescent="0.2">
      <c r="A1451" s="5" t="s">
        <v>340</v>
      </c>
      <c r="B1451" s="5" t="s">
        <v>134</v>
      </c>
      <c r="C1451" s="5" t="s">
        <v>1478</v>
      </c>
      <c r="D1451" s="5" t="s">
        <v>405</v>
      </c>
      <c r="E1451" s="5" t="s">
        <v>348</v>
      </c>
      <c r="F1451" s="5" t="s">
        <v>14</v>
      </c>
      <c r="G1451" s="6">
        <v>30240</v>
      </c>
      <c r="H1451" s="1444" t="str">
        <f>HYPERLINK("https://adv-map.ru/place/?LINK=c7565fe0ce815ae6bdda174aaf0083cf","Ссылка")</f>
        <v>Ссылка</v>
      </c>
      <c r="I1451" s="5" t="s">
        <v>1479</v>
      </c>
    </row>
    <row r="1452" spans="1:9" s="4" customFormat="1" ht="38.1" customHeight="1" outlineLevel="1" x14ac:dyDescent="0.2">
      <c r="A1452" s="5" t="s">
        <v>340</v>
      </c>
      <c r="B1452" s="5" t="s">
        <v>134</v>
      </c>
      <c r="C1452" s="5" t="s">
        <v>1478</v>
      </c>
      <c r="D1452" s="5" t="s">
        <v>405</v>
      </c>
      <c r="E1452" s="5" t="s">
        <v>348</v>
      </c>
      <c r="F1452" s="5" t="s">
        <v>16</v>
      </c>
      <c r="G1452" s="6">
        <v>25200</v>
      </c>
      <c r="H1452" s="1445" t="str">
        <f>HYPERLINK("https://adv-map.ru/place/?LINK=7a499bbaec6246d9787fcaa2caf8a1d9","Ссылка")</f>
        <v>Ссылка</v>
      </c>
      <c r="I1452" s="5" t="s">
        <v>1479</v>
      </c>
    </row>
    <row r="1453" spans="1:9" s="4" customFormat="1" ht="38.1" customHeight="1" outlineLevel="1" x14ac:dyDescent="0.2">
      <c r="A1453" s="5" t="s">
        <v>340</v>
      </c>
      <c r="B1453" s="5" t="s">
        <v>345</v>
      </c>
      <c r="C1453" s="5" t="s">
        <v>1480</v>
      </c>
      <c r="D1453" s="5" t="s">
        <v>347</v>
      </c>
      <c r="E1453" s="5" t="s">
        <v>348</v>
      </c>
      <c r="F1453" s="5" t="s">
        <v>14</v>
      </c>
      <c r="G1453" s="6">
        <v>25200</v>
      </c>
      <c r="H1453" s="1446" t="str">
        <f>HYPERLINK("https://adv-map.ru/place/?LINK=35ec0ed32126953d66322c3ebb97e79b","Ссылка")</f>
        <v>Ссылка</v>
      </c>
      <c r="I1453" s="5" t="s">
        <v>1481</v>
      </c>
    </row>
    <row r="1454" spans="1:9" s="4" customFormat="1" ht="38.1" customHeight="1" outlineLevel="1" x14ac:dyDescent="0.2">
      <c r="A1454" s="5" t="s">
        <v>340</v>
      </c>
      <c r="B1454" s="5" t="s">
        <v>345</v>
      </c>
      <c r="C1454" s="5" t="s">
        <v>1482</v>
      </c>
      <c r="D1454" s="5" t="s">
        <v>347</v>
      </c>
      <c r="E1454" s="5" t="s">
        <v>348</v>
      </c>
      <c r="F1454" s="5" t="s">
        <v>16</v>
      </c>
      <c r="G1454" s="6">
        <v>20160</v>
      </c>
      <c r="H1454" s="1447" t="str">
        <f>HYPERLINK("https://adv-map.ru/place/?LINK=68d97827672f6d39522b70aec6b2e35f","Ссылка")</f>
        <v>Ссылка</v>
      </c>
      <c r="I1454" s="5" t="s">
        <v>1483</v>
      </c>
    </row>
    <row r="1455" spans="1:9" s="4" customFormat="1" ht="38.1" customHeight="1" outlineLevel="1" x14ac:dyDescent="0.2">
      <c r="A1455" s="5" t="s">
        <v>340</v>
      </c>
      <c r="B1455" s="5" t="s">
        <v>345</v>
      </c>
      <c r="C1455" s="5" t="s">
        <v>1484</v>
      </c>
      <c r="D1455" s="5" t="s">
        <v>347</v>
      </c>
      <c r="E1455" s="5" t="s">
        <v>348</v>
      </c>
      <c r="F1455" s="5" t="s">
        <v>14</v>
      </c>
      <c r="G1455" s="6">
        <v>25200</v>
      </c>
      <c r="H1455" s="1448" t="str">
        <f>HYPERLINK("https://adv-map.ru/place/?LINK=0c3bbd2ef67a7e69afa51962e44df571","Ссылка")</f>
        <v>Ссылка</v>
      </c>
      <c r="I1455" s="5" t="s">
        <v>1485</v>
      </c>
    </row>
    <row r="1456" spans="1:9" s="4" customFormat="1" ht="38.1" customHeight="1" outlineLevel="1" x14ac:dyDescent="0.2">
      <c r="A1456" s="5" t="s">
        <v>340</v>
      </c>
      <c r="B1456" s="5" t="s">
        <v>345</v>
      </c>
      <c r="C1456" s="5" t="s">
        <v>1484</v>
      </c>
      <c r="D1456" s="5" t="s">
        <v>347</v>
      </c>
      <c r="E1456" s="5" t="s">
        <v>348</v>
      </c>
      <c r="F1456" s="5" t="s">
        <v>16</v>
      </c>
      <c r="G1456" s="6">
        <v>20160</v>
      </c>
      <c r="H1456" s="1449" t="str">
        <f>HYPERLINK("https://adv-map.ru/place/?LINK=7e97045965b5be5720d4d66fd0e7f7d2","Ссылка")</f>
        <v>Ссылка</v>
      </c>
      <c r="I1456" s="5" t="s">
        <v>1485</v>
      </c>
    </row>
    <row r="1457" spans="1:9" s="4" customFormat="1" ht="38.1" customHeight="1" outlineLevel="1" x14ac:dyDescent="0.2">
      <c r="A1457" s="5" t="s">
        <v>340</v>
      </c>
      <c r="B1457" s="5" t="s">
        <v>345</v>
      </c>
      <c r="C1457" s="5" t="s">
        <v>1486</v>
      </c>
      <c r="D1457" s="5" t="s">
        <v>49</v>
      </c>
      <c r="E1457" s="5" t="s">
        <v>13</v>
      </c>
      <c r="F1457" s="5" t="s">
        <v>28</v>
      </c>
      <c r="G1457" s="6">
        <v>52500</v>
      </c>
      <c r="H1457" s="1450" t="str">
        <f>HYPERLINK("https://adv-map.ru/place/?LINK=4c23fd20bc5c07f7ebd046b4d40eff0f","Ссылка")</f>
        <v>Ссылка</v>
      </c>
      <c r="I1457" s="5" t="s">
        <v>1487</v>
      </c>
    </row>
    <row r="1458" spans="1:9" s="4" customFormat="1" ht="38.1" customHeight="1" outlineLevel="1" x14ac:dyDescent="0.2">
      <c r="A1458" s="5" t="s">
        <v>340</v>
      </c>
      <c r="B1458" s="5" t="s">
        <v>345</v>
      </c>
      <c r="C1458" s="5" t="s">
        <v>1486</v>
      </c>
      <c r="D1458" s="5" t="s">
        <v>49</v>
      </c>
      <c r="E1458" s="5" t="s">
        <v>13</v>
      </c>
      <c r="F1458" s="5" t="s">
        <v>30</v>
      </c>
      <c r="G1458" s="6">
        <v>52500</v>
      </c>
      <c r="H1458" s="1451" t="str">
        <f>HYPERLINK("https://adv-map.ru/place/?LINK=a801ec467ade43c871084c0efb2228e4","Ссылка")</f>
        <v>Ссылка</v>
      </c>
      <c r="I1458" s="5" t="s">
        <v>1487</v>
      </c>
    </row>
    <row r="1459" spans="1:9" s="4" customFormat="1" ht="38.1" customHeight="1" outlineLevel="1" x14ac:dyDescent="0.2">
      <c r="A1459" s="5" t="s">
        <v>340</v>
      </c>
      <c r="B1459" s="5" t="s">
        <v>345</v>
      </c>
      <c r="C1459" s="5" t="s">
        <v>1486</v>
      </c>
      <c r="D1459" s="5" t="s">
        <v>49</v>
      </c>
      <c r="E1459" s="5" t="s">
        <v>13</v>
      </c>
      <c r="F1459" s="5" t="s">
        <v>31</v>
      </c>
      <c r="G1459" s="6">
        <v>52500</v>
      </c>
      <c r="H1459" s="1452" t="str">
        <f>HYPERLINK("https://adv-map.ru/place/?LINK=4f44f77be1298f6d5d47e06ebd630f24","Ссылка")</f>
        <v>Ссылка</v>
      </c>
      <c r="I1459" s="5" t="s">
        <v>1487</v>
      </c>
    </row>
    <row r="1460" spans="1:9" s="4" customFormat="1" ht="38.1" customHeight="1" outlineLevel="1" x14ac:dyDescent="0.2">
      <c r="A1460" s="5" t="s">
        <v>340</v>
      </c>
      <c r="B1460" s="5" t="s">
        <v>345</v>
      </c>
      <c r="C1460" s="5" t="s">
        <v>1486</v>
      </c>
      <c r="D1460" s="5" t="s">
        <v>49</v>
      </c>
      <c r="E1460" s="5" t="s">
        <v>13</v>
      </c>
      <c r="F1460" s="5" t="s">
        <v>33</v>
      </c>
      <c r="G1460" s="6">
        <v>44100</v>
      </c>
      <c r="H1460" s="1453" t="str">
        <f>HYPERLINK("https://adv-map.ru/place/?LINK=5e0f587453ba44e55d4ceb7dfa93ad47","Ссылка")</f>
        <v>Ссылка</v>
      </c>
      <c r="I1460" s="5" t="s">
        <v>1487</v>
      </c>
    </row>
    <row r="1461" spans="1:9" s="4" customFormat="1" ht="38.1" customHeight="1" outlineLevel="1" x14ac:dyDescent="0.2">
      <c r="A1461" s="5" t="s">
        <v>340</v>
      </c>
      <c r="B1461" s="5" t="s">
        <v>345</v>
      </c>
      <c r="C1461" s="5" t="s">
        <v>1486</v>
      </c>
      <c r="D1461" s="5" t="s">
        <v>49</v>
      </c>
      <c r="E1461" s="5" t="s">
        <v>13</v>
      </c>
      <c r="F1461" s="5" t="s">
        <v>34</v>
      </c>
      <c r="G1461" s="6">
        <v>44100</v>
      </c>
      <c r="H1461" s="1454" t="str">
        <f>HYPERLINK("https://adv-map.ru/place/?LINK=894719e29453b6c53926cdcef187845b","Ссылка")</f>
        <v>Ссылка</v>
      </c>
      <c r="I1461" s="5" t="s">
        <v>1487</v>
      </c>
    </row>
    <row r="1462" spans="1:9" s="4" customFormat="1" ht="38.1" customHeight="1" outlineLevel="1" x14ac:dyDescent="0.2">
      <c r="A1462" s="5" t="s">
        <v>340</v>
      </c>
      <c r="B1462" s="5" t="s">
        <v>345</v>
      </c>
      <c r="C1462" s="5" t="s">
        <v>1486</v>
      </c>
      <c r="D1462" s="5" t="s">
        <v>49</v>
      </c>
      <c r="E1462" s="5" t="s">
        <v>13</v>
      </c>
      <c r="F1462" s="5" t="s">
        <v>35</v>
      </c>
      <c r="G1462" s="6">
        <v>44100</v>
      </c>
      <c r="H1462" s="1455" t="str">
        <f>HYPERLINK("https://adv-map.ru/place/?LINK=3a79302106098efa0121439b1865714b","Ссылка")</f>
        <v>Ссылка</v>
      </c>
      <c r="I1462" s="5" t="s">
        <v>1487</v>
      </c>
    </row>
    <row r="1463" spans="1:9" s="4" customFormat="1" ht="38.1" customHeight="1" outlineLevel="1" x14ac:dyDescent="0.2">
      <c r="A1463" s="5" t="s">
        <v>340</v>
      </c>
      <c r="B1463" s="5" t="s">
        <v>341</v>
      </c>
      <c r="C1463" s="5" t="s">
        <v>1488</v>
      </c>
      <c r="D1463" s="5" t="s">
        <v>351</v>
      </c>
      <c r="E1463" s="5" t="s">
        <v>352</v>
      </c>
      <c r="F1463" s="5" t="s">
        <v>14</v>
      </c>
      <c r="G1463" s="6">
        <v>147000</v>
      </c>
      <c r="H1463" s="1456" t="str">
        <f>HYPERLINK("https://adv-map.ru/place/?LINK=2d1c96022c89580f2424a778c3c63f50","Ссылка")</f>
        <v>Ссылка</v>
      </c>
      <c r="I1463" s="5" t="s">
        <v>1489</v>
      </c>
    </row>
    <row r="1464" spans="1:9" s="4" customFormat="1" ht="38.1" customHeight="1" outlineLevel="1" x14ac:dyDescent="0.2">
      <c r="A1464" s="5" t="s">
        <v>340</v>
      </c>
      <c r="B1464" s="5" t="s">
        <v>341</v>
      </c>
      <c r="C1464" s="5" t="s">
        <v>1488</v>
      </c>
      <c r="D1464" s="5" t="s">
        <v>351</v>
      </c>
      <c r="E1464" s="5" t="s">
        <v>352</v>
      </c>
      <c r="F1464" s="5" t="s">
        <v>16</v>
      </c>
      <c r="G1464" s="6">
        <v>126000</v>
      </c>
      <c r="H1464" s="1457" t="str">
        <f>HYPERLINK("https://adv-map.ru/place/?LINK=b8f79f7b630c56b78023805dcb738229","Ссылка")</f>
        <v>Ссылка</v>
      </c>
      <c r="I1464" s="5" t="s">
        <v>1489</v>
      </c>
    </row>
    <row r="1465" spans="1:9" s="4" customFormat="1" ht="38.1" customHeight="1" outlineLevel="1" x14ac:dyDescent="0.2">
      <c r="A1465" s="5" t="s">
        <v>340</v>
      </c>
      <c r="B1465" s="5" t="s">
        <v>341</v>
      </c>
      <c r="C1465" s="5" t="s">
        <v>1490</v>
      </c>
      <c r="D1465" s="5" t="s">
        <v>396</v>
      </c>
      <c r="E1465" s="5" t="s">
        <v>397</v>
      </c>
      <c r="F1465" s="5" t="s">
        <v>28</v>
      </c>
      <c r="G1465" s="6">
        <v>31500</v>
      </c>
      <c r="H1465" s="1458" t="str">
        <f>HYPERLINK("https://adv-map.ru/place/?LINK=b3c4fc1fce5a2b57bb738c225b37f9c8","Ссылка")</f>
        <v>Ссылка</v>
      </c>
      <c r="I1465" s="5" t="s">
        <v>1491</v>
      </c>
    </row>
    <row r="1466" spans="1:9" s="4" customFormat="1" ht="38.1" customHeight="1" outlineLevel="1" x14ac:dyDescent="0.2">
      <c r="A1466" s="5" t="s">
        <v>340</v>
      </c>
      <c r="B1466" s="5" t="s">
        <v>341</v>
      </c>
      <c r="C1466" s="5" t="s">
        <v>1490</v>
      </c>
      <c r="D1466" s="5" t="s">
        <v>396</v>
      </c>
      <c r="E1466" s="5" t="s">
        <v>397</v>
      </c>
      <c r="F1466" s="5" t="s">
        <v>16</v>
      </c>
      <c r="G1466" s="6">
        <v>25200</v>
      </c>
      <c r="H1466" s="1459" t="str">
        <f>HYPERLINK("https://adv-map.ru/place/?LINK=4cf67bc92e09062398f9794d7b768bc1","Ссылка")</f>
        <v>Ссылка</v>
      </c>
      <c r="I1466" s="5" t="s">
        <v>1491</v>
      </c>
    </row>
    <row r="1467" spans="1:9" s="4" customFormat="1" ht="38.1" customHeight="1" outlineLevel="1" x14ac:dyDescent="0.2">
      <c r="A1467" s="5" t="s">
        <v>340</v>
      </c>
      <c r="B1467" s="5" t="s">
        <v>341</v>
      </c>
      <c r="C1467" s="5" t="s">
        <v>1492</v>
      </c>
      <c r="D1467" s="5" t="s">
        <v>396</v>
      </c>
      <c r="E1467" s="5" t="s">
        <v>397</v>
      </c>
      <c r="F1467" s="5" t="s">
        <v>14</v>
      </c>
      <c r="G1467" s="6">
        <v>30240</v>
      </c>
      <c r="H1467" s="1460" t="str">
        <f>HYPERLINK("https://adv-map.ru/place/?LINK=3df4bdb70fe7bdb2611e08bc323bed77","Ссылка")</f>
        <v>Ссылка</v>
      </c>
      <c r="I1467" s="5" t="s">
        <v>1493</v>
      </c>
    </row>
    <row r="1468" spans="1:9" s="4" customFormat="1" ht="38.1" customHeight="1" outlineLevel="1" x14ac:dyDescent="0.2">
      <c r="A1468" s="5" t="s">
        <v>340</v>
      </c>
      <c r="B1468" s="5" t="s">
        <v>341</v>
      </c>
      <c r="C1468" s="5" t="s">
        <v>1492</v>
      </c>
      <c r="D1468" s="5" t="s">
        <v>396</v>
      </c>
      <c r="E1468" s="5" t="s">
        <v>397</v>
      </c>
      <c r="F1468" s="5" t="s">
        <v>16</v>
      </c>
      <c r="G1468" s="6">
        <v>25200</v>
      </c>
      <c r="H1468" s="1461" t="str">
        <f>HYPERLINK("https://adv-map.ru/place/?LINK=4058ab61fbc7707ec9dc7ff5c631621d","Ссылка")</f>
        <v>Ссылка</v>
      </c>
      <c r="I1468" s="5" t="s">
        <v>1493</v>
      </c>
    </row>
    <row r="1469" spans="1:9" s="4" customFormat="1" ht="38.1" customHeight="1" outlineLevel="1" x14ac:dyDescent="0.2">
      <c r="A1469" s="5" t="s">
        <v>340</v>
      </c>
      <c r="B1469" s="5" t="s">
        <v>341</v>
      </c>
      <c r="C1469" s="5" t="s">
        <v>1494</v>
      </c>
      <c r="D1469" s="5" t="s">
        <v>347</v>
      </c>
      <c r="E1469" s="5" t="s">
        <v>348</v>
      </c>
      <c r="F1469" s="5" t="s">
        <v>14</v>
      </c>
      <c r="G1469" s="6">
        <v>22680</v>
      </c>
      <c r="H1469" s="1462" t="str">
        <f>HYPERLINK("https://adv-map.ru/place/?LINK=8670afc71cdd75de1f573bbb9921f660","Ссылка")</f>
        <v>Ссылка</v>
      </c>
      <c r="I1469" s="5" t="s">
        <v>1495</v>
      </c>
    </row>
    <row r="1470" spans="1:9" s="4" customFormat="1" ht="38.1" customHeight="1" outlineLevel="1" x14ac:dyDescent="0.2">
      <c r="A1470" s="5" t="s">
        <v>340</v>
      </c>
      <c r="B1470" s="5" t="s">
        <v>341</v>
      </c>
      <c r="C1470" s="5" t="s">
        <v>1494</v>
      </c>
      <c r="D1470" s="5" t="s">
        <v>347</v>
      </c>
      <c r="E1470" s="5" t="s">
        <v>348</v>
      </c>
      <c r="F1470" s="5" t="s">
        <v>16</v>
      </c>
      <c r="G1470" s="6">
        <v>17640</v>
      </c>
      <c r="H1470" s="1463" t="str">
        <f>HYPERLINK("https://adv-map.ru/place/?LINK=b9148dab15a6b20dcd961dc022829de8","Ссылка")</f>
        <v>Ссылка</v>
      </c>
      <c r="I1470" s="5" t="s">
        <v>1496</v>
      </c>
    </row>
    <row r="1471" spans="1:9" s="4" customFormat="1" ht="38.1" customHeight="1" outlineLevel="1" x14ac:dyDescent="0.2">
      <c r="A1471" s="5" t="s">
        <v>340</v>
      </c>
      <c r="B1471" s="5" t="s">
        <v>341</v>
      </c>
      <c r="C1471" s="5" t="s">
        <v>1497</v>
      </c>
      <c r="D1471" s="5" t="s">
        <v>405</v>
      </c>
      <c r="E1471" s="5" t="s">
        <v>348</v>
      </c>
      <c r="F1471" s="5" t="s">
        <v>14</v>
      </c>
      <c r="G1471" s="6">
        <v>22680</v>
      </c>
      <c r="H1471" s="1464" t="str">
        <f>HYPERLINK("https://adv-map.ru/place/?LINK=0ba4e72be6b4777cd575e56c7d722271","Ссылка")</f>
        <v>Ссылка</v>
      </c>
      <c r="I1471" s="5" t="s">
        <v>1498</v>
      </c>
    </row>
    <row r="1472" spans="1:9" s="4" customFormat="1" ht="38.1" customHeight="1" outlineLevel="1" x14ac:dyDescent="0.2">
      <c r="A1472" s="5" t="s">
        <v>340</v>
      </c>
      <c r="B1472" s="5" t="s">
        <v>341</v>
      </c>
      <c r="C1472" s="5" t="s">
        <v>1497</v>
      </c>
      <c r="D1472" s="5" t="s">
        <v>405</v>
      </c>
      <c r="E1472" s="5" t="s">
        <v>348</v>
      </c>
      <c r="F1472" s="5" t="s">
        <v>16</v>
      </c>
      <c r="G1472" s="6">
        <v>17640</v>
      </c>
      <c r="H1472" s="1465" t="str">
        <f>HYPERLINK("https://adv-map.ru/place/?LINK=072b5f1483f32c12940f335f78e04a29","Ссылка")</f>
        <v>Ссылка</v>
      </c>
      <c r="I1472" s="5" t="s">
        <v>1498</v>
      </c>
    </row>
    <row r="1473" spans="1:9" s="4" customFormat="1" ht="38.1" customHeight="1" outlineLevel="1" x14ac:dyDescent="0.2">
      <c r="A1473" s="5" t="s">
        <v>340</v>
      </c>
      <c r="B1473" s="5" t="s">
        <v>341</v>
      </c>
      <c r="C1473" s="5" t="s">
        <v>1499</v>
      </c>
      <c r="D1473" s="5" t="s">
        <v>405</v>
      </c>
      <c r="E1473" s="5" t="s">
        <v>348</v>
      </c>
      <c r="F1473" s="5" t="s">
        <v>14</v>
      </c>
      <c r="G1473" s="6">
        <v>22680</v>
      </c>
      <c r="H1473" s="1466" t="str">
        <f>HYPERLINK("https://adv-map.ru/place/?LINK=4f8c2b8edf291c04a281f6f1bb45a99b","Ссылка")</f>
        <v>Ссылка</v>
      </c>
      <c r="I1473" s="5" t="s">
        <v>1500</v>
      </c>
    </row>
    <row r="1474" spans="1:9" s="4" customFormat="1" ht="38.1" customHeight="1" outlineLevel="1" x14ac:dyDescent="0.2">
      <c r="A1474" s="5" t="s">
        <v>340</v>
      </c>
      <c r="B1474" s="5" t="s">
        <v>341</v>
      </c>
      <c r="C1474" s="5" t="s">
        <v>1499</v>
      </c>
      <c r="D1474" s="5" t="s">
        <v>405</v>
      </c>
      <c r="E1474" s="5" t="s">
        <v>348</v>
      </c>
      <c r="F1474" s="5" t="s">
        <v>16</v>
      </c>
      <c r="G1474" s="6">
        <v>17640</v>
      </c>
      <c r="H1474" s="1467" t="str">
        <f>HYPERLINK("https://adv-map.ru/place/?LINK=235068b8023c8246abdcaeb863e6ba65","Ссылка")</f>
        <v>Ссылка</v>
      </c>
      <c r="I1474" s="5" t="s">
        <v>1500</v>
      </c>
    </row>
    <row r="1475" spans="1:9" s="4" customFormat="1" ht="38.1" customHeight="1" outlineLevel="1" x14ac:dyDescent="0.2">
      <c r="A1475" s="5" t="s">
        <v>340</v>
      </c>
      <c r="B1475" s="5" t="s">
        <v>341</v>
      </c>
      <c r="C1475" s="5" t="s">
        <v>1501</v>
      </c>
      <c r="D1475" s="5" t="s">
        <v>347</v>
      </c>
      <c r="E1475" s="5" t="s">
        <v>348</v>
      </c>
      <c r="F1475" s="5" t="s">
        <v>14</v>
      </c>
      <c r="G1475" s="6">
        <v>22680</v>
      </c>
      <c r="H1475" s="1468" t="str">
        <f>HYPERLINK("https://adv-map.ru/place/?LINK=d2b259f638a069b0430b3c65dcf41bff","Ссылка")</f>
        <v>Ссылка</v>
      </c>
      <c r="I1475" s="5" t="s">
        <v>1502</v>
      </c>
    </row>
    <row r="1476" spans="1:9" s="4" customFormat="1" ht="38.1" customHeight="1" outlineLevel="1" x14ac:dyDescent="0.2">
      <c r="A1476" s="5" t="s">
        <v>340</v>
      </c>
      <c r="B1476" s="5" t="s">
        <v>341</v>
      </c>
      <c r="C1476" s="5" t="s">
        <v>1501</v>
      </c>
      <c r="D1476" s="5" t="s">
        <v>347</v>
      </c>
      <c r="E1476" s="5" t="s">
        <v>348</v>
      </c>
      <c r="F1476" s="5" t="s">
        <v>16</v>
      </c>
      <c r="G1476" s="6">
        <v>17640</v>
      </c>
      <c r="H1476" s="1469" t="str">
        <f>HYPERLINK("https://adv-map.ru/place/?LINK=1c8e430ec609ea0d6218267273c80c62","Ссылка")</f>
        <v>Ссылка</v>
      </c>
      <c r="I1476" s="5" t="s">
        <v>1503</v>
      </c>
    </row>
    <row r="1477" spans="1:9" s="4" customFormat="1" ht="38.1" customHeight="1" outlineLevel="1" x14ac:dyDescent="0.2">
      <c r="A1477" s="5" t="s">
        <v>340</v>
      </c>
      <c r="B1477" s="5" t="s">
        <v>341</v>
      </c>
      <c r="C1477" s="5" t="s">
        <v>1504</v>
      </c>
      <c r="D1477" s="5" t="s">
        <v>347</v>
      </c>
      <c r="E1477" s="5" t="s">
        <v>348</v>
      </c>
      <c r="F1477" s="5" t="s">
        <v>14</v>
      </c>
      <c r="G1477" s="6">
        <v>22680</v>
      </c>
      <c r="H1477" s="1470" t="str">
        <f>HYPERLINK("https://adv-map.ru/place/?LINK=ec6e1789cfe546c7a9b50d16fd90078e","Ссылка")</f>
        <v>Ссылка</v>
      </c>
      <c r="I1477" s="5" t="s">
        <v>1505</v>
      </c>
    </row>
    <row r="1478" spans="1:9" s="4" customFormat="1" ht="51" customHeight="1" outlineLevel="1" x14ac:dyDescent="0.2">
      <c r="A1478" s="5" t="s">
        <v>340</v>
      </c>
      <c r="B1478" s="5" t="s">
        <v>341</v>
      </c>
      <c r="C1478" s="5" t="s">
        <v>1504</v>
      </c>
      <c r="D1478" s="5" t="s">
        <v>347</v>
      </c>
      <c r="E1478" s="5" t="s">
        <v>348</v>
      </c>
      <c r="F1478" s="5" t="s">
        <v>16</v>
      </c>
      <c r="G1478" s="6">
        <v>17640</v>
      </c>
      <c r="H1478" s="1471" t="str">
        <f>HYPERLINK("https://adv-map.ru/place/?LINK=55e2a2d32d581b5643bdb91a35299272","Ссылка")</f>
        <v>Ссылка</v>
      </c>
      <c r="I1478" s="5" t="s">
        <v>1505</v>
      </c>
    </row>
    <row r="1479" spans="1:9" s="4" customFormat="1" ht="38.1" customHeight="1" outlineLevel="1" x14ac:dyDescent="0.2">
      <c r="A1479" s="5" t="s">
        <v>340</v>
      </c>
      <c r="B1479" s="5" t="s">
        <v>341</v>
      </c>
      <c r="C1479" s="5" t="s">
        <v>1506</v>
      </c>
      <c r="D1479" s="5" t="s">
        <v>43</v>
      </c>
      <c r="E1479" s="5" t="s">
        <v>504</v>
      </c>
      <c r="F1479" s="5" t="s">
        <v>14</v>
      </c>
      <c r="G1479" s="6">
        <v>31500</v>
      </c>
      <c r="H1479" s="1472" t="str">
        <f>HYPERLINK("https://adv-map.ru/place/?LINK=91ee32b3790fa549eb68421f00253b89","Ссылка")</f>
        <v>Ссылка</v>
      </c>
      <c r="I1479" s="5" t="s">
        <v>1507</v>
      </c>
    </row>
    <row r="1480" spans="1:9" s="4" customFormat="1" ht="38.1" customHeight="1" outlineLevel="1" x14ac:dyDescent="0.2">
      <c r="A1480" s="5" t="s">
        <v>340</v>
      </c>
      <c r="B1480" s="5" t="s">
        <v>341</v>
      </c>
      <c r="C1480" s="5" t="s">
        <v>1506</v>
      </c>
      <c r="D1480" s="5" t="s">
        <v>43</v>
      </c>
      <c r="E1480" s="5" t="s">
        <v>504</v>
      </c>
      <c r="F1480" s="5" t="s">
        <v>16</v>
      </c>
      <c r="G1480" s="6">
        <v>25200</v>
      </c>
      <c r="H1480" s="1473" t="str">
        <f>HYPERLINK("https://adv-map.ru/place/?LINK=6ebd691dc43fd00bfe52cfa7c9b1ff97","Ссылка")</f>
        <v>Ссылка</v>
      </c>
      <c r="I1480" s="5" t="s">
        <v>1507</v>
      </c>
    </row>
    <row r="1481" spans="1:9" s="4" customFormat="1" ht="38.1" customHeight="1" outlineLevel="1" x14ac:dyDescent="0.2">
      <c r="A1481" s="5" t="s">
        <v>340</v>
      </c>
      <c r="B1481" s="5" t="s">
        <v>341</v>
      </c>
      <c r="C1481" s="5" t="s">
        <v>1508</v>
      </c>
      <c r="D1481" s="5" t="s">
        <v>12</v>
      </c>
      <c r="E1481" s="5" t="s">
        <v>13</v>
      </c>
      <c r="F1481" s="5" t="s">
        <v>14</v>
      </c>
      <c r="G1481" s="6">
        <v>42000</v>
      </c>
      <c r="H1481" s="1474" t="str">
        <f>HYPERLINK("https://adv-map.ru/place/?LINK=19f7b52e93aba7583c5f5aacf463bfb5","Ссылка")</f>
        <v>Ссылка</v>
      </c>
      <c r="I1481" s="5" t="s">
        <v>1509</v>
      </c>
    </row>
    <row r="1482" spans="1:9" s="4" customFormat="1" ht="38.1" customHeight="1" outlineLevel="1" x14ac:dyDescent="0.2">
      <c r="A1482" s="5" t="s">
        <v>340</v>
      </c>
      <c r="B1482" s="5" t="s">
        <v>341</v>
      </c>
      <c r="C1482" s="5" t="s">
        <v>1508</v>
      </c>
      <c r="D1482" s="5" t="s">
        <v>12</v>
      </c>
      <c r="E1482" s="5" t="s">
        <v>13</v>
      </c>
      <c r="F1482" s="5" t="s">
        <v>16</v>
      </c>
      <c r="G1482" s="6">
        <v>31500</v>
      </c>
      <c r="H1482" s="1475" t="str">
        <f>HYPERLINK("https://adv-map.ru/place/?LINK=925a06ca851f2a35e410e5e416cb4aa8","Ссылка")</f>
        <v>Ссылка</v>
      </c>
      <c r="I1482" s="5" t="s">
        <v>1509</v>
      </c>
    </row>
    <row r="1483" spans="1:9" s="4" customFormat="1" ht="38.1" customHeight="1" outlineLevel="1" x14ac:dyDescent="0.2">
      <c r="A1483" s="5" t="s">
        <v>340</v>
      </c>
      <c r="B1483" s="5" t="s">
        <v>546</v>
      </c>
      <c r="C1483" s="5" t="s">
        <v>1510</v>
      </c>
      <c r="D1483" s="5" t="s">
        <v>12</v>
      </c>
      <c r="E1483" s="5" t="s">
        <v>504</v>
      </c>
      <c r="F1483" s="5" t="s">
        <v>14</v>
      </c>
      <c r="G1483" s="6">
        <v>31500</v>
      </c>
      <c r="H1483" s="1476" t="str">
        <f>HYPERLINK("https://adv-map.ru/place/?LINK=ba0770de7771dc6e1369d6f292f96336","Ссылка")</f>
        <v>Ссылка</v>
      </c>
      <c r="I1483" s="5" t="s">
        <v>1511</v>
      </c>
    </row>
    <row r="1484" spans="1:9" s="4" customFormat="1" ht="38.1" customHeight="1" outlineLevel="1" x14ac:dyDescent="0.2">
      <c r="A1484" s="5" t="s">
        <v>340</v>
      </c>
      <c r="B1484" s="5" t="s">
        <v>546</v>
      </c>
      <c r="C1484" s="5" t="s">
        <v>1510</v>
      </c>
      <c r="D1484" s="5" t="s">
        <v>43</v>
      </c>
      <c r="E1484" s="5" t="s">
        <v>504</v>
      </c>
      <c r="F1484" s="5" t="s">
        <v>16</v>
      </c>
      <c r="G1484" s="6">
        <v>25200</v>
      </c>
      <c r="H1484" s="1477" t="str">
        <f>HYPERLINK("https://adv-map.ru/place/?LINK=4873dedbc6b7b568f68f249bf2be71da","Ссылка")</f>
        <v>Ссылка</v>
      </c>
      <c r="I1484" s="5" t="s">
        <v>1511</v>
      </c>
    </row>
    <row r="1485" spans="1:9" s="4" customFormat="1" ht="38.1" customHeight="1" outlineLevel="1" x14ac:dyDescent="0.2">
      <c r="A1485" s="5" t="s">
        <v>340</v>
      </c>
      <c r="B1485" s="5" t="s">
        <v>341</v>
      </c>
      <c r="C1485" s="5" t="s">
        <v>1512</v>
      </c>
      <c r="D1485" s="5" t="s">
        <v>43</v>
      </c>
      <c r="E1485" s="5" t="s">
        <v>504</v>
      </c>
      <c r="F1485" s="5" t="s">
        <v>14</v>
      </c>
      <c r="G1485" s="6">
        <v>31500</v>
      </c>
      <c r="H1485" s="1478" t="str">
        <f>HYPERLINK("https://adv-map.ru/place/?LINK=d48dacd1e061d55d23d6dc727fe2c2db","Ссылка")</f>
        <v>Ссылка</v>
      </c>
      <c r="I1485" s="5" t="s">
        <v>1513</v>
      </c>
    </row>
    <row r="1486" spans="1:9" s="4" customFormat="1" ht="38.1" customHeight="1" outlineLevel="1" x14ac:dyDescent="0.2">
      <c r="A1486" s="5" t="s">
        <v>340</v>
      </c>
      <c r="B1486" s="5" t="s">
        <v>341</v>
      </c>
      <c r="C1486" s="5" t="s">
        <v>1512</v>
      </c>
      <c r="D1486" s="5" t="s">
        <v>43</v>
      </c>
      <c r="E1486" s="5" t="s">
        <v>504</v>
      </c>
      <c r="F1486" s="5" t="s">
        <v>16</v>
      </c>
      <c r="G1486" s="6">
        <v>18900</v>
      </c>
      <c r="H1486" s="1479" t="str">
        <f>HYPERLINK("https://adv-map.ru/place/?LINK=89e4a018d6ac145c47eebe4392d2aff9","Ссылка")</f>
        <v>Ссылка</v>
      </c>
      <c r="I1486" s="5" t="s">
        <v>1513</v>
      </c>
    </row>
    <row r="1487" spans="1:9" s="4" customFormat="1" ht="38.1" customHeight="1" outlineLevel="1" x14ac:dyDescent="0.2">
      <c r="A1487" s="5" t="s">
        <v>340</v>
      </c>
      <c r="B1487" s="5" t="s">
        <v>341</v>
      </c>
      <c r="C1487" s="5" t="s">
        <v>1514</v>
      </c>
      <c r="D1487" s="5" t="s">
        <v>49</v>
      </c>
      <c r="E1487" s="5" t="s">
        <v>13</v>
      </c>
      <c r="F1487" s="5" t="s">
        <v>28</v>
      </c>
      <c r="G1487" s="6">
        <v>42000</v>
      </c>
      <c r="H1487" s="1480" t="str">
        <f>HYPERLINK("https://adv-map.ru/place/?LINK=fd1743aab76860250f3f1dba5cf54501","Ссылка")</f>
        <v>Ссылка</v>
      </c>
      <c r="I1487" s="5" t="s">
        <v>1515</v>
      </c>
    </row>
    <row r="1488" spans="1:9" s="4" customFormat="1" ht="38.1" customHeight="1" outlineLevel="1" x14ac:dyDescent="0.2">
      <c r="A1488" s="5" t="s">
        <v>340</v>
      </c>
      <c r="B1488" s="5" t="s">
        <v>341</v>
      </c>
      <c r="C1488" s="5" t="s">
        <v>1514</v>
      </c>
      <c r="D1488" s="5" t="s">
        <v>49</v>
      </c>
      <c r="E1488" s="5" t="s">
        <v>13</v>
      </c>
      <c r="F1488" s="5" t="s">
        <v>30</v>
      </c>
      <c r="G1488" s="6">
        <v>42000</v>
      </c>
      <c r="H1488" s="1481" t="str">
        <f>HYPERLINK("https://adv-map.ru/place/?LINK=a38cfa1cdbe2302d6c1cc21b98c822b5","Ссылка")</f>
        <v>Ссылка</v>
      </c>
      <c r="I1488" s="5" t="s">
        <v>1515</v>
      </c>
    </row>
    <row r="1489" spans="1:9" s="4" customFormat="1" ht="38.1" customHeight="1" outlineLevel="1" x14ac:dyDescent="0.2">
      <c r="A1489" s="5" t="s">
        <v>340</v>
      </c>
      <c r="B1489" s="5" t="s">
        <v>341</v>
      </c>
      <c r="C1489" s="5" t="s">
        <v>1514</v>
      </c>
      <c r="D1489" s="5" t="s">
        <v>49</v>
      </c>
      <c r="E1489" s="5" t="s">
        <v>13</v>
      </c>
      <c r="F1489" s="5" t="s">
        <v>31</v>
      </c>
      <c r="G1489" s="6">
        <v>42000</v>
      </c>
      <c r="H1489" s="1482" t="str">
        <f>HYPERLINK("https://adv-map.ru/place/?LINK=2f68b30041589999d97bef6d2f6a3836","Ссылка")</f>
        <v>Ссылка</v>
      </c>
      <c r="I1489" s="5" t="s">
        <v>1515</v>
      </c>
    </row>
    <row r="1490" spans="1:9" s="4" customFormat="1" ht="38.1" customHeight="1" outlineLevel="1" x14ac:dyDescent="0.2">
      <c r="A1490" s="5" t="s">
        <v>340</v>
      </c>
      <c r="B1490" s="5" t="s">
        <v>341</v>
      </c>
      <c r="C1490" s="5" t="s">
        <v>1514</v>
      </c>
      <c r="D1490" s="5" t="s">
        <v>49</v>
      </c>
      <c r="E1490" s="5" t="s">
        <v>13</v>
      </c>
      <c r="F1490" s="5" t="s">
        <v>33</v>
      </c>
      <c r="G1490" s="6">
        <v>37800</v>
      </c>
      <c r="H1490" s="1483" t="str">
        <f>HYPERLINK("https://adv-map.ru/place/?LINK=67f7dfeea75b195d8f73852d7daf069e","Ссылка")</f>
        <v>Ссылка</v>
      </c>
      <c r="I1490" s="5" t="s">
        <v>1516</v>
      </c>
    </row>
    <row r="1491" spans="1:9" s="4" customFormat="1" ht="38.1" customHeight="1" outlineLevel="1" x14ac:dyDescent="0.2">
      <c r="A1491" s="5" t="s">
        <v>340</v>
      </c>
      <c r="B1491" s="5" t="s">
        <v>341</v>
      </c>
      <c r="C1491" s="5" t="s">
        <v>1514</v>
      </c>
      <c r="D1491" s="5" t="s">
        <v>49</v>
      </c>
      <c r="E1491" s="5" t="s">
        <v>13</v>
      </c>
      <c r="F1491" s="5" t="s">
        <v>34</v>
      </c>
      <c r="G1491" s="6">
        <v>37800</v>
      </c>
      <c r="H1491" s="1484" t="str">
        <f>HYPERLINK("https://adv-map.ru/place/?LINK=797e7684e0c0c4aacd38ef5800b8e19c","Ссылка")</f>
        <v>Ссылка</v>
      </c>
      <c r="I1491" s="5" t="s">
        <v>1517</v>
      </c>
    </row>
    <row r="1492" spans="1:9" s="4" customFormat="1" ht="38.1" customHeight="1" outlineLevel="1" x14ac:dyDescent="0.2">
      <c r="A1492" s="5" t="s">
        <v>340</v>
      </c>
      <c r="B1492" s="5" t="s">
        <v>341</v>
      </c>
      <c r="C1492" s="5" t="s">
        <v>1514</v>
      </c>
      <c r="D1492" s="5" t="s">
        <v>49</v>
      </c>
      <c r="E1492" s="5" t="s">
        <v>13</v>
      </c>
      <c r="F1492" s="5" t="s">
        <v>35</v>
      </c>
      <c r="G1492" s="6">
        <v>37800</v>
      </c>
      <c r="H1492" s="1485" t="str">
        <f>HYPERLINK("https://adv-map.ru/place/?LINK=042095f588cb8c4e98574714d91915a5","Ссылка")</f>
        <v>Ссылка</v>
      </c>
      <c r="I1492" s="5" t="s">
        <v>1518</v>
      </c>
    </row>
    <row r="1493" spans="1:9" s="4" customFormat="1" ht="38.1" customHeight="1" outlineLevel="1" x14ac:dyDescent="0.2">
      <c r="A1493" s="5" t="s">
        <v>340</v>
      </c>
      <c r="B1493" s="5" t="s">
        <v>546</v>
      </c>
      <c r="C1493" s="5" t="s">
        <v>1519</v>
      </c>
      <c r="D1493" s="5" t="s">
        <v>49</v>
      </c>
      <c r="E1493" s="5" t="s">
        <v>13</v>
      </c>
      <c r="F1493" s="5" t="s">
        <v>28</v>
      </c>
      <c r="G1493" s="6">
        <v>42000</v>
      </c>
      <c r="H1493" s="1486" t="str">
        <f>HYPERLINK("https://adv-map.ru/place/?LINK=e25969a362c2c9aef511dcf31753c29c","Ссылка")</f>
        <v>Ссылка</v>
      </c>
      <c r="I1493" s="5" t="s">
        <v>1520</v>
      </c>
    </row>
    <row r="1494" spans="1:9" s="4" customFormat="1" ht="38.1" customHeight="1" outlineLevel="1" x14ac:dyDescent="0.2">
      <c r="A1494" s="5" t="s">
        <v>340</v>
      </c>
      <c r="B1494" s="5" t="s">
        <v>546</v>
      </c>
      <c r="C1494" s="5" t="s">
        <v>1519</v>
      </c>
      <c r="D1494" s="5" t="s">
        <v>49</v>
      </c>
      <c r="E1494" s="5" t="s">
        <v>13</v>
      </c>
      <c r="F1494" s="5" t="s">
        <v>30</v>
      </c>
      <c r="G1494" s="6">
        <v>42000</v>
      </c>
      <c r="H1494" s="1487" t="str">
        <f>HYPERLINK("https://adv-map.ru/place/?LINK=dca8540d64af35685406c303c8213698","Ссылка")</f>
        <v>Ссылка</v>
      </c>
      <c r="I1494" s="5" t="s">
        <v>1520</v>
      </c>
    </row>
    <row r="1495" spans="1:9" s="4" customFormat="1" ht="38.1" customHeight="1" outlineLevel="1" x14ac:dyDescent="0.2">
      <c r="A1495" s="5" t="s">
        <v>340</v>
      </c>
      <c r="B1495" s="5" t="s">
        <v>546</v>
      </c>
      <c r="C1495" s="5" t="s">
        <v>1519</v>
      </c>
      <c r="D1495" s="5" t="s">
        <v>49</v>
      </c>
      <c r="E1495" s="5" t="s">
        <v>13</v>
      </c>
      <c r="F1495" s="5" t="s">
        <v>31</v>
      </c>
      <c r="G1495" s="6">
        <v>42000</v>
      </c>
      <c r="H1495" s="1488" t="str">
        <f>HYPERLINK("https://adv-map.ru/place/?LINK=fffcfe3c7fc8d4a962182ed37561887a","Ссылка")</f>
        <v>Ссылка</v>
      </c>
      <c r="I1495" s="5" t="s">
        <v>1520</v>
      </c>
    </row>
    <row r="1496" spans="1:9" s="4" customFormat="1" ht="38.1" customHeight="1" outlineLevel="1" x14ac:dyDescent="0.2">
      <c r="A1496" s="5" t="s">
        <v>340</v>
      </c>
      <c r="B1496" s="5" t="s">
        <v>546</v>
      </c>
      <c r="C1496" s="5" t="s">
        <v>1519</v>
      </c>
      <c r="D1496" s="5" t="s">
        <v>12</v>
      </c>
      <c r="E1496" s="5" t="s">
        <v>13</v>
      </c>
      <c r="F1496" s="5" t="s">
        <v>16</v>
      </c>
      <c r="G1496" s="6">
        <v>25200</v>
      </c>
      <c r="H1496" s="1489" t="str">
        <f>HYPERLINK("https://adv-map.ru/place/?LINK=abded8645c42df9c3e05a1bea180e210","Ссылка")</f>
        <v>Ссылка</v>
      </c>
      <c r="I1496" s="5" t="s">
        <v>1520</v>
      </c>
    </row>
    <row r="1497" spans="1:9" s="4" customFormat="1" ht="38.1" customHeight="1" outlineLevel="1" x14ac:dyDescent="0.2">
      <c r="A1497" s="5" t="s">
        <v>340</v>
      </c>
      <c r="B1497" s="5" t="s">
        <v>546</v>
      </c>
      <c r="C1497" s="5" t="s">
        <v>1521</v>
      </c>
      <c r="D1497" s="5" t="s">
        <v>413</v>
      </c>
      <c r="E1497" s="5" t="s">
        <v>414</v>
      </c>
      <c r="F1497" s="5" t="s">
        <v>31</v>
      </c>
      <c r="G1497" s="6">
        <v>31500</v>
      </c>
      <c r="H1497" s="1490" t="str">
        <f>HYPERLINK("https://adv-map.ru/place/?LINK=0faf93f4c0d440836c9e62a114990d0c","Ссылка")</f>
        <v>Ссылка</v>
      </c>
      <c r="I1497" s="5" t="s">
        <v>1522</v>
      </c>
    </row>
    <row r="1498" spans="1:9" s="4" customFormat="1" ht="38.1" customHeight="1" outlineLevel="1" x14ac:dyDescent="0.2">
      <c r="A1498" s="5" t="s">
        <v>340</v>
      </c>
      <c r="B1498" s="5" t="s">
        <v>546</v>
      </c>
      <c r="C1498" s="5" t="s">
        <v>1523</v>
      </c>
      <c r="D1498" s="5" t="s">
        <v>413</v>
      </c>
      <c r="E1498" s="5" t="s">
        <v>414</v>
      </c>
      <c r="F1498" s="5" t="s">
        <v>28</v>
      </c>
      <c r="G1498" s="6">
        <v>31500</v>
      </c>
      <c r="H1498" s="1491" t="str">
        <f>HYPERLINK("https://adv-map.ru/place/?LINK=d90e8170e9e5babcf22144e76eeffb2c","Ссылка")</f>
        <v>Ссылка</v>
      </c>
      <c r="I1498" s="5" t="s">
        <v>1524</v>
      </c>
    </row>
    <row r="1499" spans="1:9" s="4" customFormat="1" ht="38.1" customHeight="1" outlineLevel="1" x14ac:dyDescent="0.2">
      <c r="A1499" s="5" t="s">
        <v>340</v>
      </c>
      <c r="B1499" s="5" t="s">
        <v>546</v>
      </c>
      <c r="C1499" s="5" t="s">
        <v>1523</v>
      </c>
      <c r="D1499" s="5" t="s">
        <v>413</v>
      </c>
      <c r="E1499" s="5" t="s">
        <v>414</v>
      </c>
      <c r="F1499" s="5" t="s">
        <v>30</v>
      </c>
      <c r="G1499" s="6">
        <v>31500</v>
      </c>
      <c r="H1499" s="1492" t="str">
        <f>HYPERLINK("https://adv-map.ru/place/?LINK=e6737e2b36e43577fadf3b2d13acb5cd","Ссылка")</f>
        <v>Ссылка</v>
      </c>
      <c r="I1499" s="5" t="s">
        <v>1524</v>
      </c>
    </row>
    <row r="1500" spans="1:9" s="4" customFormat="1" ht="38.1" customHeight="1" outlineLevel="1" x14ac:dyDescent="0.2">
      <c r="A1500" s="5" t="s">
        <v>340</v>
      </c>
      <c r="B1500" s="5" t="s">
        <v>546</v>
      </c>
      <c r="C1500" s="5" t="s">
        <v>1525</v>
      </c>
      <c r="D1500" s="5" t="s">
        <v>43</v>
      </c>
      <c r="E1500" s="5" t="s">
        <v>982</v>
      </c>
      <c r="F1500" s="5" t="s">
        <v>16</v>
      </c>
      <c r="G1500" s="6">
        <v>25200</v>
      </c>
      <c r="H1500" s="1493" t="str">
        <f>HYPERLINK("https://adv-map.ru/place/?LINK=4001879a0ebc60574c83b30b69d7371d","Ссылка")</f>
        <v>Ссылка</v>
      </c>
      <c r="I1500" s="5" t="s">
        <v>1522</v>
      </c>
    </row>
    <row r="1501" spans="1:9" s="4" customFormat="1" ht="38.1" customHeight="1" outlineLevel="1" x14ac:dyDescent="0.2">
      <c r="A1501" s="5" t="s">
        <v>340</v>
      </c>
      <c r="B1501" s="5" t="s">
        <v>546</v>
      </c>
      <c r="C1501" s="5" t="s">
        <v>1526</v>
      </c>
      <c r="D1501" s="5" t="s">
        <v>43</v>
      </c>
      <c r="E1501" s="5" t="s">
        <v>504</v>
      </c>
      <c r="F1501" s="5" t="s">
        <v>14</v>
      </c>
      <c r="G1501" s="6">
        <v>31500</v>
      </c>
      <c r="H1501" s="1494" t="str">
        <f>HYPERLINK("https://adv-map.ru/place/?LINK=6966a7015196a52e1755442411268d4f","Ссылка")</f>
        <v>Ссылка</v>
      </c>
      <c r="I1501" s="5" t="s">
        <v>1527</v>
      </c>
    </row>
    <row r="1502" spans="1:9" s="4" customFormat="1" ht="38.1" customHeight="1" outlineLevel="1" x14ac:dyDescent="0.2">
      <c r="A1502" s="5" t="s">
        <v>340</v>
      </c>
      <c r="B1502" s="5" t="s">
        <v>546</v>
      </c>
      <c r="C1502" s="5" t="s">
        <v>1526</v>
      </c>
      <c r="D1502" s="5" t="s">
        <v>43</v>
      </c>
      <c r="E1502" s="5" t="s">
        <v>504</v>
      </c>
      <c r="F1502" s="5" t="s">
        <v>16</v>
      </c>
      <c r="G1502" s="6">
        <v>25200</v>
      </c>
      <c r="H1502" s="1495" t="str">
        <f>HYPERLINK("https://adv-map.ru/place/?LINK=dca9e7e4d6487f3212cf03cd9f6b7879","Ссылка")</f>
        <v>Ссылка</v>
      </c>
      <c r="I1502" s="5" t="s">
        <v>1527</v>
      </c>
    </row>
    <row r="1503" spans="1:9" s="4" customFormat="1" ht="38.1" customHeight="1" outlineLevel="1" x14ac:dyDescent="0.2">
      <c r="A1503" s="5" t="s">
        <v>340</v>
      </c>
      <c r="B1503" s="5" t="s">
        <v>546</v>
      </c>
      <c r="C1503" s="5" t="s">
        <v>1528</v>
      </c>
      <c r="D1503" s="5" t="s">
        <v>12</v>
      </c>
      <c r="E1503" s="5" t="s">
        <v>13</v>
      </c>
      <c r="F1503" s="5" t="s">
        <v>14</v>
      </c>
      <c r="G1503" s="6">
        <v>31500</v>
      </c>
      <c r="H1503" s="1496" t="str">
        <f>HYPERLINK("https://adv-map.ru/place/?LINK=eac408d0d06eedd9a7df4d1ad6044729","Ссылка")</f>
        <v>Ссылка</v>
      </c>
      <c r="I1503" s="5" t="s">
        <v>1529</v>
      </c>
    </row>
    <row r="1504" spans="1:9" s="4" customFormat="1" ht="38.1" customHeight="1" outlineLevel="1" x14ac:dyDescent="0.2">
      <c r="A1504" s="5" t="s">
        <v>340</v>
      </c>
      <c r="B1504" s="5" t="s">
        <v>546</v>
      </c>
      <c r="C1504" s="5" t="s">
        <v>1528</v>
      </c>
      <c r="D1504" s="5" t="s">
        <v>12</v>
      </c>
      <c r="E1504" s="5" t="s">
        <v>13</v>
      </c>
      <c r="F1504" s="5" t="s">
        <v>16</v>
      </c>
      <c r="G1504" s="6">
        <v>27720</v>
      </c>
      <c r="H1504" s="1497" t="str">
        <f>HYPERLINK("https://adv-map.ru/place/?LINK=785039be0e295191552311dae84cfe7b","Ссылка")</f>
        <v>Ссылка</v>
      </c>
      <c r="I1504" s="5" t="s">
        <v>1529</v>
      </c>
    </row>
    <row r="1505" spans="1:9" s="4" customFormat="1" ht="51" customHeight="1" outlineLevel="1" x14ac:dyDescent="0.2">
      <c r="A1505" s="5" t="s">
        <v>340</v>
      </c>
      <c r="B1505" s="5" t="s">
        <v>546</v>
      </c>
      <c r="C1505" s="5" t="s">
        <v>1530</v>
      </c>
      <c r="D1505" s="5" t="s">
        <v>49</v>
      </c>
      <c r="E1505" s="5" t="s">
        <v>13</v>
      </c>
      <c r="F1505" s="5" t="s">
        <v>28</v>
      </c>
      <c r="G1505" s="6">
        <v>42000</v>
      </c>
      <c r="H1505" s="1498" t="str">
        <f>HYPERLINK("https://adv-map.ru/place/?LINK=8fb2465d218a0110ad9a0a513a85417a","Ссылка")</f>
        <v>Ссылка</v>
      </c>
      <c r="I1505" s="5" t="s">
        <v>1531</v>
      </c>
    </row>
    <row r="1506" spans="1:9" s="4" customFormat="1" ht="38.1" customHeight="1" outlineLevel="1" x14ac:dyDescent="0.2">
      <c r="A1506" s="5" t="s">
        <v>340</v>
      </c>
      <c r="B1506" s="5" t="s">
        <v>546</v>
      </c>
      <c r="C1506" s="5" t="s">
        <v>1530</v>
      </c>
      <c r="D1506" s="5" t="s">
        <v>49</v>
      </c>
      <c r="E1506" s="5" t="s">
        <v>13</v>
      </c>
      <c r="F1506" s="5" t="s">
        <v>30</v>
      </c>
      <c r="G1506" s="6">
        <v>42000</v>
      </c>
      <c r="H1506" s="1499" t="str">
        <f>HYPERLINK("https://adv-map.ru/place/?LINK=b8a19dbad41c4b5c99f68bdca0f6525d","Ссылка")</f>
        <v>Ссылка</v>
      </c>
      <c r="I1506" s="5" t="s">
        <v>1531</v>
      </c>
    </row>
    <row r="1507" spans="1:9" s="4" customFormat="1" ht="38.1" customHeight="1" outlineLevel="1" x14ac:dyDescent="0.2">
      <c r="A1507" s="5" t="s">
        <v>340</v>
      </c>
      <c r="B1507" s="5" t="s">
        <v>546</v>
      </c>
      <c r="C1507" s="5" t="s">
        <v>1530</v>
      </c>
      <c r="D1507" s="5" t="s">
        <v>49</v>
      </c>
      <c r="E1507" s="5" t="s">
        <v>13</v>
      </c>
      <c r="F1507" s="5" t="s">
        <v>31</v>
      </c>
      <c r="G1507" s="6">
        <v>42000</v>
      </c>
      <c r="H1507" s="1500" t="str">
        <f>HYPERLINK("https://adv-map.ru/place/?LINK=5de768d6ec66b4f17171efb66d39ae01","Ссылка")</f>
        <v>Ссылка</v>
      </c>
      <c r="I1507" s="5" t="s">
        <v>1531</v>
      </c>
    </row>
    <row r="1508" spans="1:9" s="4" customFormat="1" ht="38.1" customHeight="1" outlineLevel="1" x14ac:dyDescent="0.2">
      <c r="A1508" s="5" t="s">
        <v>340</v>
      </c>
      <c r="B1508" s="5" t="s">
        <v>546</v>
      </c>
      <c r="C1508" s="5" t="s">
        <v>1530</v>
      </c>
      <c r="D1508" s="5" t="s">
        <v>12</v>
      </c>
      <c r="E1508" s="5" t="s">
        <v>13</v>
      </c>
      <c r="F1508" s="5" t="s">
        <v>16</v>
      </c>
      <c r="G1508" s="6">
        <v>30240</v>
      </c>
      <c r="H1508" s="1501" t="str">
        <f>HYPERLINK("https://adv-map.ru/place/?LINK=eeec4fafec9471f50a40ee2525c80a93","Ссылка")</f>
        <v>Ссылка</v>
      </c>
      <c r="I1508" s="5" t="s">
        <v>1532</v>
      </c>
    </row>
    <row r="1509" spans="1:9" s="4" customFormat="1" ht="38.1" customHeight="1" outlineLevel="1" x14ac:dyDescent="0.2">
      <c r="A1509" s="5" t="s">
        <v>340</v>
      </c>
      <c r="B1509" s="5" t="s">
        <v>546</v>
      </c>
      <c r="C1509" s="5" t="s">
        <v>1533</v>
      </c>
      <c r="D1509" s="5" t="s">
        <v>12</v>
      </c>
      <c r="E1509" s="5" t="s">
        <v>13</v>
      </c>
      <c r="F1509" s="5" t="s">
        <v>14</v>
      </c>
      <c r="G1509" s="6">
        <v>37800</v>
      </c>
      <c r="H1509" s="1502" t="str">
        <f>HYPERLINK("https://adv-map.ru/place/?LINK=19372b689c095c4ba9a4a2ad54b486fd","Ссылка")</f>
        <v>Ссылка</v>
      </c>
      <c r="I1509" s="5" t="s">
        <v>1534</v>
      </c>
    </row>
    <row r="1510" spans="1:9" s="4" customFormat="1" ht="51" customHeight="1" outlineLevel="1" x14ac:dyDescent="0.2">
      <c r="A1510" s="5" t="s">
        <v>340</v>
      </c>
      <c r="B1510" s="5" t="s">
        <v>546</v>
      </c>
      <c r="C1510" s="5" t="s">
        <v>1533</v>
      </c>
      <c r="D1510" s="5" t="s">
        <v>49</v>
      </c>
      <c r="E1510" s="5" t="s">
        <v>13</v>
      </c>
      <c r="F1510" s="5" t="s">
        <v>33</v>
      </c>
      <c r="G1510" s="6">
        <v>30000</v>
      </c>
      <c r="H1510" s="1503" t="str">
        <f>HYPERLINK("https://adv-map.ru/place/?LINK=1b9a7736239254929a58bad53a6b2616","Ссылка")</f>
        <v>Ссылка</v>
      </c>
      <c r="I1510" s="5" t="s">
        <v>1535</v>
      </c>
    </row>
    <row r="1511" spans="1:9" s="4" customFormat="1" ht="38.1" customHeight="1" outlineLevel="1" x14ac:dyDescent="0.2">
      <c r="A1511" s="5" t="s">
        <v>340</v>
      </c>
      <c r="B1511" s="5" t="s">
        <v>546</v>
      </c>
      <c r="C1511" s="5" t="s">
        <v>1533</v>
      </c>
      <c r="D1511" s="5" t="s">
        <v>49</v>
      </c>
      <c r="E1511" s="5" t="s">
        <v>13</v>
      </c>
      <c r="F1511" s="5" t="s">
        <v>34</v>
      </c>
      <c r="G1511" s="6">
        <v>30000</v>
      </c>
      <c r="H1511" s="1504" t="str">
        <f>HYPERLINK("https://adv-map.ru/place/?LINK=d543473321680d73afb5ef32e92b2fd5","Ссылка")</f>
        <v>Ссылка</v>
      </c>
      <c r="I1511" s="5" t="s">
        <v>1535</v>
      </c>
    </row>
    <row r="1512" spans="1:9" s="4" customFormat="1" ht="38.1" customHeight="1" outlineLevel="1" x14ac:dyDescent="0.2">
      <c r="A1512" s="5" t="s">
        <v>340</v>
      </c>
      <c r="B1512" s="5" t="s">
        <v>546</v>
      </c>
      <c r="C1512" s="5" t="s">
        <v>1533</v>
      </c>
      <c r="D1512" s="5" t="s">
        <v>49</v>
      </c>
      <c r="E1512" s="5" t="s">
        <v>13</v>
      </c>
      <c r="F1512" s="5" t="s">
        <v>35</v>
      </c>
      <c r="G1512" s="6">
        <v>30000</v>
      </c>
      <c r="H1512" s="1505" t="str">
        <f>HYPERLINK("https://adv-map.ru/place/?LINK=42ee8b61242ea3eec820a5d2b88b0791","Ссылка")</f>
        <v>Ссылка</v>
      </c>
      <c r="I1512" s="5" t="s">
        <v>1535</v>
      </c>
    </row>
    <row r="1513" spans="1:9" s="4" customFormat="1" ht="38.1" customHeight="1" outlineLevel="1" x14ac:dyDescent="0.2">
      <c r="A1513" s="5" t="s">
        <v>340</v>
      </c>
      <c r="B1513" s="5" t="s">
        <v>354</v>
      </c>
      <c r="C1513" s="5" t="s">
        <v>1536</v>
      </c>
      <c r="D1513" s="5" t="s">
        <v>347</v>
      </c>
      <c r="E1513" s="5" t="s">
        <v>348</v>
      </c>
      <c r="F1513" s="5" t="s">
        <v>14</v>
      </c>
      <c r="G1513" s="6">
        <v>20160</v>
      </c>
      <c r="H1513" s="1506" t="str">
        <f>HYPERLINK("https://adv-map.ru/place/?LINK=38a5bb6f808cfe04b05c4dd9d24f64a4","Ссылка")</f>
        <v>Ссылка</v>
      </c>
      <c r="I1513" s="5" t="s">
        <v>1537</v>
      </c>
    </row>
    <row r="1514" spans="1:9" s="4" customFormat="1" ht="38.1" customHeight="1" outlineLevel="1" x14ac:dyDescent="0.2">
      <c r="A1514" s="5" t="s">
        <v>340</v>
      </c>
      <c r="B1514" s="5" t="s">
        <v>354</v>
      </c>
      <c r="C1514" s="5" t="s">
        <v>1536</v>
      </c>
      <c r="D1514" s="5" t="s">
        <v>347</v>
      </c>
      <c r="E1514" s="5" t="s">
        <v>348</v>
      </c>
      <c r="F1514" s="5" t="s">
        <v>16</v>
      </c>
      <c r="G1514" s="6">
        <v>15120</v>
      </c>
      <c r="H1514" s="1507" t="str">
        <f>HYPERLINK("https://adv-map.ru/place/?LINK=4485f2dc3dc9ea15c8b7b899ddbc2f13","Ссылка")</f>
        <v>Ссылка</v>
      </c>
      <c r="I1514" s="5" t="s">
        <v>1538</v>
      </c>
    </row>
    <row r="1515" spans="1:9" s="4" customFormat="1" ht="38.1" customHeight="1" outlineLevel="1" x14ac:dyDescent="0.2">
      <c r="A1515" s="5" t="s">
        <v>340</v>
      </c>
      <c r="B1515" s="5" t="s">
        <v>354</v>
      </c>
      <c r="C1515" s="5" t="s">
        <v>1539</v>
      </c>
      <c r="D1515" s="5" t="s">
        <v>405</v>
      </c>
      <c r="E1515" s="5" t="s">
        <v>348</v>
      </c>
      <c r="F1515" s="5" t="s">
        <v>14</v>
      </c>
      <c r="G1515" s="6">
        <v>25200</v>
      </c>
      <c r="H1515" s="1508" t="str">
        <f>HYPERLINK("https://adv-map.ru/place/?LINK=d13ebef3e55d07ee1329a64ff4621bd7","Ссылка")</f>
        <v>Ссылка</v>
      </c>
      <c r="I1515" s="5" t="s">
        <v>1540</v>
      </c>
    </row>
    <row r="1516" spans="1:9" s="4" customFormat="1" ht="38.1" customHeight="1" outlineLevel="1" x14ac:dyDescent="0.2">
      <c r="A1516" s="5" t="s">
        <v>340</v>
      </c>
      <c r="B1516" s="5" t="s">
        <v>354</v>
      </c>
      <c r="C1516" s="5" t="s">
        <v>1539</v>
      </c>
      <c r="D1516" s="5" t="s">
        <v>405</v>
      </c>
      <c r="E1516" s="5" t="s">
        <v>348</v>
      </c>
      <c r="F1516" s="5" t="s">
        <v>16</v>
      </c>
      <c r="G1516" s="6">
        <v>15120</v>
      </c>
      <c r="H1516" s="1509" t="str">
        <f>HYPERLINK("https://adv-map.ru/place/?LINK=c3d6be3af8f36a1af5a4d5581b336d19","Ссылка")</f>
        <v>Ссылка</v>
      </c>
      <c r="I1516" s="5" t="s">
        <v>1540</v>
      </c>
    </row>
    <row r="1517" spans="1:9" s="4" customFormat="1" ht="38.1" customHeight="1" outlineLevel="1" x14ac:dyDescent="0.2">
      <c r="A1517" s="5" t="s">
        <v>340</v>
      </c>
      <c r="B1517" s="5" t="s">
        <v>354</v>
      </c>
      <c r="C1517" s="5" t="s">
        <v>1541</v>
      </c>
      <c r="D1517" s="5" t="s">
        <v>347</v>
      </c>
      <c r="E1517" s="5" t="s">
        <v>348</v>
      </c>
      <c r="F1517" s="5" t="s">
        <v>14</v>
      </c>
      <c r="G1517" s="6">
        <v>22680</v>
      </c>
      <c r="H1517" s="1510" t="str">
        <f>HYPERLINK("https://adv-map.ru/place/?LINK=0a40dcad3e21996d529fc40a59f4c08f","Ссылка")</f>
        <v>Ссылка</v>
      </c>
      <c r="I1517" s="5" t="s">
        <v>1542</v>
      </c>
    </row>
    <row r="1518" spans="1:9" s="4" customFormat="1" ht="38.1" customHeight="1" outlineLevel="1" x14ac:dyDescent="0.2">
      <c r="A1518" s="5" t="s">
        <v>340</v>
      </c>
      <c r="B1518" s="5" t="s">
        <v>354</v>
      </c>
      <c r="C1518" s="5" t="s">
        <v>1541</v>
      </c>
      <c r="D1518" s="5" t="s">
        <v>347</v>
      </c>
      <c r="E1518" s="5" t="s">
        <v>348</v>
      </c>
      <c r="F1518" s="5" t="s">
        <v>16</v>
      </c>
      <c r="G1518" s="6">
        <v>17640</v>
      </c>
      <c r="H1518" s="1511" t="str">
        <f>HYPERLINK("https://adv-map.ru/place/?LINK=f1ea859cf995b5769f41aedfb021b0b1","Ссылка")</f>
        <v>Ссылка</v>
      </c>
      <c r="I1518" s="5" t="s">
        <v>1543</v>
      </c>
    </row>
    <row r="1519" spans="1:9" s="4" customFormat="1" ht="38.1" customHeight="1" outlineLevel="1" x14ac:dyDescent="0.2">
      <c r="A1519" s="5" t="s">
        <v>340</v>
      </c>
      <c r="B1519" s="5" t="s">
        <v>354</v>
      </c>
      <c r="C1519" s="5" t="s">
        <v>1544</v>
      </c>
      <c r="D1519" s="5" t="s">
        <v>347</v>
      </c>
      <c r="E1519" s="5" t="s">
        <v>348</v>
      </c>
      <c r="F1519" s="5" t="s">
        <v>14</v>
      </c>
      <c r="G1519" s="6">
        <v>25200</v>
      </c>
      <c r="H1519" s="1512" t="str">
        <f>HYPERLINK("https://adv-map.ru/place/?LINK=2adea4b076c18fce10b53b0d77084882","Ссылка")</f>
        <v>Ссылка</v>
      </c>
      <c r="I1519" s="5" t="s">
        <v>1545</v>
      </c>
    </row>
    <row r="1520" spans="1:9" s="4" customFormat="1" ht="38.1" customHeight="1" outlineLevel="1" x14ac:dyDescent="0.2">
      <c r="A1520" s="5" t="s">
        <v>340</v>
      </c>
      <c r="B1520" s="5" t="s">
        <v>354</v>
      </c>
      <c r="C1520" s="5" t="s">
        <v>1544</v>
      </c>
      <c r="D1520" s="5" t="s">
        <v>347</v>
      </c>
      <c r="E1520" s="5" t="s">
        <v>348</v>
      </c>
      <c r="F1520" s="5" t="s">
        <v>16</v>
      </c>
      <c r="G1520" s="6">
        <v>15120</v>
      </c>
      <c r="H1520" s="1513" t="str">
        <f>HYPERLINK("https://adv-map.ru/place/?LINK=7bcd765645fe107e0ddb06735facc94d","Ссылка")</f>
        <v>Ссылка</v>
      </c>
      <c r="I1520" s="5" t="s">
        <v>1545</v>
      </c>
    </row>
    <row r="1521" spans="1:9" s="4" customFormat="1" ht="38.1" customHeight="1" outlineLevel="1" x14ac:dyDescent="0.2">
      <c r="A1521" s="5" t="s">
        <v>340</v>
      </c>
      <c r="B1521" s="5" t="s">
        <v>354</v>
      </c>
      <c r="C1521" s="5" t="s">
        <v>1546</v>
      </c>
      <c r="D1521" s="5" t="s">
        <v>347</v>
      </c>
      <c r="E1521" s="5" t="s">
        <v>348</v>
      </c>
      <c r="F1521" s="5" t="s">
        <v>14</v>
      </c>
      <c r="G1521" s="6">
        <v>20160</v>
      </c>
      <c r="H1521" s="1514" t="str">
        <f>HYPERLINK("https://adv-map.ru/place/?LINK=9980df7d15336aaf0ecbfd7ad6a64e58","Ссылка")</f>
        <v>Ссылка</v>
      </c>
      <c r="I1521" s="5" t="s">
        <v>1547</v>
      </c>
    </row>
    <row r="1522" spans="1:9" s="4" customFormat="1" ht="38.1" customHeight="1" outlineLevel="1" x14ac:dyDescent="0.2">
      <c r="A1522" s="5" t="s">
        <v>340</v>
      </c>
      <c r="B1522" s="5" t="s">
        <v>354</v>
      </c>
      <c r="C1522" s="5" t="s">
        <v>1546</v>
      </c>
      <c r="D1522" s="5" t="s">
        <v>347</v>
      </c>
      <c r="E1522" s="5" t="s">
        <v>348</v>
      </c>
      <c r="F1522" s="5" t="s">
        <v>16</v>
      </c>
      <c r="G1522" s="6">
        <v>15120</v>
      </c>
      <c r="H1522" s="1515" t="str">
        <f>HYPERLINK("https://adv-map.ru/place/?LINK=e820e8bcb9ac20faed652175d606a51b","Ссылка")</f>
        <v>Ссылка</v>
      </c>
      <c r="I1522" s="5" t="s">
        <v>1547</v>
      </c>
    </row>
    <row r="1523" spans="1:9" s="4" customFormat="1" ht="38.1" customHeight="1" outlineLevel="1" x14ac:dyDescent="0.2">
      <c r="A1523" s="5" t="s">
        <v>340</v>
      </c>
      <c r="B1523" s="5" t="s">
        <v>354</v>
      </c>
      <c r="C1523" s="5" t="s">
        <v>1548</v>
      </c>
      <c r="D1523" s="5" t="s">
        <v>405</v>
      </c>
      <c r="E1523" s="5" t="s">
        <v>348</v>
      </c>
      <c r="F1523" s="5" t="s">
        <v>14</v>
      </c>
      <c r="G1523" s="6">
        <v>22680</v>
      </c>
      <c r="H1523" s="1516" t="str">
        <f>HYPERLINK("https://adv-map.ru/place/?LINK=e60d1cd8ba68276d2030d54c21868686","Ссылка")</f>
        <v>Ссылка</v>
      </c>
      <c r="I1523" s="5" t="s">
        <v>1549</v>
      </c>
    </row>
    <row r="1524" spans="1:9" s="4" customFormat="1" ht="38.1" customHeight="1" outlineLevel="1" x14ac:dyDescent="0.2">
      <c r="A1524" s="5" t="s">
        <v>340</v>
      </c>
      <c r="B1524" s="5" t="s">
        <v>354</v>
      </c>
      <c r="C1524" s="5" t="s">
        <v>1548</v>
      </c>
      <c r="D1524" s="5" t="s">
        <v>405</v>
      </c>
      <c r="E1524" s="5" t="s">
        <v>348</v>
      </c>
      <c r="F1524" s="5" t="s">
        <v>16</v>
      </c>
      <c r="G1524" s="6">
        <v>17640</v>
      </c>
      <c r="H1524" s="1517" t="str">
        <f>HYPERLINK("https://adv-map.ru/place/?LINK=55f2faa446dcedf099e02e3f6f8ea633","Ссылка")</f>
        <v>Ссылка</v>
      </c>
      <c r="I1524" s="5" t="s">
        <v>1549</v>
      </c>
    </row>
    <row r="1525" spans="1:9" s="4" customFormat="1" ht="38.1" customHeight="1" outlineLevel="1" x14ac:dyDescent="0.2">
      <c r="A1525" s="5" t="s">
        <v>340</v>
      </c>
      <c r="B1525" s="5" t="s">
        <v>354</v>
      </c>
      <c r="C1525" s="5" t="s">
        <v>1550</v>
      </c>
      <c r="D1525" s="5" t="s">
        <v>347</v>
      </c>
      <c r="E1525" s="5" t="s">
        <v>348</v>
      </c>
      <c r="F1525" s="5" t="s">
        <v>14</v>
      </c>
      <c r="G1525" s="6">
        <v>22680</v>
      </c>
      <c r="H1525" s="1518" t="str">
        <f>HYPERLINK("https://adv-map.ru/place/?LINK=3ae8cc051af5e00252e37e7ad4d0fbaa","Ссылка")</f>
        <v>Ссылка</v>
      </c>
      <c r="I1525" s="5" t="s">
        <v>1551</v>
      </c>
    </row>
    <row r="1526" spans="1:9" s="4" customFormat="1" ht="38.1" customHeight="1" outlineLevel="1" x14ac:dyDescent="0.2">
      <c r="A1526" s="5" t="s">
        <v>340</v>
      </c>
      <c r="B1526" s="5" t="s">
        <v>354</v>
      </c>
      <c r="C1526" s="5" t="s">
        <v>1550</v>
      </c>
      <c r="D1526" s="5" t="s">
        <v>347</v>
      </c>
      <c r="E1526" s="5" t="s">
        <v>348</v>
      </c>
      <c r="F1526" s="5" t="s">
        <v>16</v>
      </c>
      <c r="G1526" s="6">
        <v>17640</v>
      </c>
      <c r="H1526" s="1519" t="str">
        <f>HYPERLINK("https://adv-map.ru/place/?LINK=155e94386a1c716eba9163e7a871efef","Ссылка")</f>
        <v>Ссылка</v>
      </c>
      <c r="I1526" s="5" t="s">
        <v>1551</v>
      </c>
    </row>
    <row r="1527" spans="1:9" s="4" customFormat="1" ht="38.1" customHeight="1" outlineLevel="1" x14ac:dyDescent="0.2">
      <c r="A1527" s="5" t="s">
        <v>340</v>
      </c>
      <c r="B1527" s="5" t="s">
        <v>354</v>
      </c>
      <c r="C1527" s="5" t="s">
        <v>1552</v>
      </c>
      <c r="D1527" s="5" t="s">
        <v>396</v>
      </c>
      <c r="E1527" s="5" t="s">
        <v>397</v>
      </c>
      <c r="F1527" s="5" t="s">
        <v>28</v>
      </c>
      <c r="G1527" s="6">
        <v>30240</v>
      </c>
      <c r="H1527" s="1520" t="str">
        <f>HYPERLINK("https://adv-map.ru/place/?LINK=c328f9d0f1e07c9adba44787255baae6","Ссылка")</f>
        <v>Ссылка</v>
      </c>
      <c r="I1527" s="5" t="s">
        <v>1553</v>
      </c>
    </row>
    <row r="1528" spans="1:9" s="4" customFormat="1" ht="38.1" customHeight="1" outlineLevel="1" x14ac:dyDescent="0.2">
      <c r="A1528" s="5" t="s">
        <v>340</v>
      </c>
      <c r="B1528" s="5" t="s">
        <v>354</v>
      </c>
      <c r="C1528" s="5" t="s">
        <v>1552</v>
      </c>
      <c r="D1528" s="5" t="s">
        <v>396</v>
      </c>
      <c r="E1528" s="5" t="s">
        <v>397</v>
      </c>
      <c r="F1528" s="5" t="s">
        <v>30</v>
      </c>
      <c r="G1528" s="6">
        <v>25200</v>
      </c>
      <c r="H1528" s="1521" t="str">
        <f>HYPERLINK("https://adv-map.ru/place/?LINK=a091830641a97a1b8a5aac405b722961","Ссылка")</f>
        <v>Ссылка</v>
      </c>
      <c r="I1528" s="5" t="s">
        <v>1553</v>
      </c>
    </row>
    <row r="1529" spans="1:9" s="4" customFormat="1" ht="38.1" customHeight="1" outlineLevel="1" x14ac:dyDescent="0.2">
      <c r="A1529" s="5" t="s">
        <v>340</v>
      </c>
      <c r="B1529" s="5" t="s">
        <v>354</v>
      </c>
      <c r="C1529" s="5" t="s">
        <v>1552</v>
      </c>
      <c r="D1529" s="5" t="s">
        <v>396</v>
      </c>
      <c r="E1529" s="5" t="s">
        <v>397</v>
      </c>
      <c r="F1529" s="5" t="s">
        <v>31</v>
      </c>
      <c r="G1529" s="6">
        <v>20160</v>
      </c>
      <c r="H1529" s="1522" t="str">
        <f>HYPERLINK("https://adv-map.ru/place/?LINK=cc4731a61ab02bd49bff339d94fa04da","Ссылка")</f>
        <v>Ссылка</v>
      </c>
      <c r="I1529" s="5" t="s">
        <v>1553</v>
      </c>
    </row>
    <row r="1530" spans="1:9" s="4" customFormat="1" ht="38.1" customHeight="1" outlineLevel="1" x14ac:dyDescent="0.2">
      <c r="A1530" s="5" t="s">
        <v>340</v>
      </c>
      <c r="B1530" s="5" t="s">
        <v>354</v>
      </c>
      <c r="C1530" s="5" t="s">
        <v>1554</v>
      </c>
      <c r="D1530" s="5" t="s">
        <v>347</v>
      </c>
      <c r="E1530" s="5" t="s">
        <v>348</v>
      </c>
      <c r="F1530" s="5" t="s">
        <v>14</v>
      </c>
      <c r="G1530" s="6">
        <v>22680</v>
      </c>
      <c r="H1530" s="1523" t="str">
        <f>HYPERLINK("https://adv-map.ru/place/?LINK=78a7ed87d61e0bca76c9ceb695f0897f","Ссылка")</f>
        <v>Ссылка</v>
      </c>
      <c r="I1530" s="5" t="s">
        <v>1555</v>
      </c>
    </row>
    <row r="1531" spans="1:9" s="4" customFormat="1" ht="38.1" customHeight="1" outlineLevel="1" x14ac:dyDescent="0.2">
      <c r="A1531" s="5" t="s">
        <v>340</v>
      </c>
      <c r="B1531" s="5" t="s">
        <v>354</v>
      </c>
      <c r="C1531" s="5" t="s">
        <v>1554</v>
      </c>
      <c r="D1531" s="5" t="s">
        <v>347</v>
      </c>
      <c r="E1531" s="5" t="s">
        <v>348</v>
      </c>
      <c r="F1531" s="5" t="s">
        <v>16</v>
      </c>
      <c r="G1531" s="6">
        <v>17640</v>
      </c>
      <c r="H1531" s="1524" t="str">
        <f>HYPERLINK("https://adv-map.ru/place/?LINK=8de8e8a18ce2cfd281721d528a3a4140","Ссылка")</f>
        <v>Ссылка</v>
      </c>
      <c r="I1531" s="5" t="s">
        <v>1556</v>
      </c>
    </row>
    <row r="1532" spans="1:9" s="4" customFormat="1" ht="38.1" customHeight="1" outlineLevel="1" x14ac:dyDescent="0.2">
      <c r="A1532" s="5" t="s">
        <v>340</v>
      </c>
      <c r="B1532" s="5" t="s">
        <v>354</v>
      </c>
      <c r="C1532" s="5" t="s">
        <v>1557</v>
      </c>
      <c r="D1532" s="5" t="s">
        <v>396</v>
      </c>
      <c r="E1532" s="5" t="s">
        <v>397</v>
      </c>
      <c r="F1532" s="5" t="s">
        <v>28</v>
      </c>
      <c r="G1532" s="6">
        <v>30240</v>
      </c>
      <c r="H1532" s="1525" t="str">
        <f>HYPERLINK("https://adv-map.ru/place/?LINK=41850df93916ca50e8fa7dc9a92b1ca8","Ссылка")</f>
        <v>Ссылка</v>
      </c>
      <c r="I1532" s="5" t="s">
        <v>1558</v>
      </c>
    </row>
    <row r="1533" spans="1:9" s="4" customFormat="1" ht="51" customHeight="1" outlineLevel="1" x14ac:dyDescent="0.2">
      <c r="A1533" s="5" t="s">
        <v>340</v>
      </c>
      <c r="B1533" s="5" t="s">
        <v>354</v>
      </c>
      <c r="C1533" s="5" t="s">
        <v>1557</v>
      </c>
      <c r="D1533" s="5" t="s">
        <v>396</v>
      </c>
      <c r="E1533" s="5" t="s">
        <v>397</v>
      </c>
      <c r="F1533" s="5" t="s">
        <v>30</v>
      </c>
      <c r="G1533" s="6">
        <v>25200</v>
      </c>
      <c r="H1533" s="1526" t="str">
        <f>HYPERLINK("https://adv-map.ru/place/?LINK=6cc1824148053612dd3375d997229134","Ссылка")</f>
        <v>Ссылка</v>
      </c>
      <c r="I1533" s="5" t="s">
        <v>1558</v>
      </c>
    </row>
    <row r="1534" spans="1:9" s="4" customFormat="1" ht="38.1" customHeight="1" outlineLevel="1" x14ac:dyDescent="0.2">
      <c r="A1534" s="5" t="s">
        <v>340</v>
      </c>
      <c r="B1534" s="5" t="s">
        <v>354</v>
      </c>
      <c r="C1534" s="5" t="s">
        <v>1557</v>
      </c>
      <c r="D1534" s="5" t="s">
        <v>396</v>
      </c>
      <c r="E1534" s="5" t="s">
        <v>397</v>
      </c>
      <c r="F1534" s="5" t="s">
        <v>31</v>
      </c>
      <c r="G1534" s="6">
        <v>20160</v>
      </c>
      <c r="H1534" s="1527" t="str">
        <f>HYPERLINK("https://adv-map.ru/place/?LINK=56d4deeb64347b404776d0e5c54bed95","Ссылка")</f>
        <v>Ссылка</v>
      </c>
      <c r="I1534" s="5" t="s">
        <v>1558</v>
      </c>
    </row>
    <row r="1535" spans="1:9" s="4" customFormat="1" ht="38.1" customHeight="1" outlineLevel="1" x14ac:dyDescent="0.2">
      <c r="A1535" s="5" t="s">
        <v>340</v>
      </c>
      <c r="B1535" s="5" t="s">
        <v>354</v>
      </c>
      <c r="C1535" s="5" t="s">
        <v>1559</v>
      </c>
      <c r="D1535" s="5" t="s">
        <v>347</v>
      </c>
      <c r="E1535" s="5" t="s">
        <v>348</v>
      </c>
      <c r="F1535" s="5" t="s">
        <v>14</v>
      </c>
      <c r="G1535" s="6">
        <v>22680</v>
      </c>
      <c r="H1535" s="1528" t="str">
        <f>HYPERLINK("https://adv-map.ru/place/?LINK=7dc815480266a5f42074962c0d08855c","Ссылка")</f>
        <v>Ссылка</v>
      </c>
      <c r="I1535" s="5" t="s">
        <v>1560</v>
      </c>
    </row>
    <row r="1536" spans="1:9" s="4" customFormat="1" ht="38.1" customHeight="1" outlineLevel="1" x14ac:dyDescent="0.2">
      <c r="A1536" s="5" t="s">
        <v>340</v>
      </c>
      <c r="B1536" s="5" t="s">
        <v>354</v>
      </c>
      <c r="C1536" s="5" t="s">
        <v>1559</v>
      </c>
      <c r="D1536" s="5" t="s">
        <v>347</v>
      </c>
      <c r="E1536" s="5" t="s">
        <v>348</v>
      </c>
      <c r="F1536" s="5" t="s">
        <v>16</v>
      </c>
      <c r="G1536" s="6">
        <v>17640</v>
      </c>
      <c r="H1536" s="1529" t="str">
        <f>HYPERLINK("https://adv-map.ru/place/?LINK=61f8209bf8b7a6a6d5a72a26f4acba8f","Ссылка")</f>
        <v>Ссылка</v>
      </c>
      <c r="I1536" s="5" t="s">
        <v>1560</v>
      </c>
    </row>
    <row r="1537" spans="1:9" s="4" customFormat="1" ht="38.1" customHeight="1" outlineLevel="1" x14ac:dyDescent="0.2">
      <c r="A1537" s="5" t="s">
        <v>340</v>
      </c>
      <c r="B1537" s="5" t="s">
        <v>354</v>
      </c>
      <c r="C1537" s="5" t="s">
        <v>1561</v>
      </c>
      <c r="D1537" s="5" t="s">
        <v>656</v>
      </c>
      <c r="E1537" s="5" t="s">
        <v>1562</v>
      </c>
      <c r="F1537" s="5" t="s">
        <v>14</v>
      </c>
      <c r="G1537" s="6">
        <v>33600</v>
      </c>
      <c r="H1537" s="1530" t="str">
        <f>HYPERLINK("https://adv-map.ru/place/?LINK=dd11bfcf65f14968a6124c2399f3f09f","Ссылка")</f>
        <v>Ссылка</v>
      </c>
      <c r="I1537" s="5" t="s">
        <v>1563</v>
      </c>
    </row>
    <row r="1538" spans="1:9" s="4" customFormat="1" ht="38.1" customHeight="1" outlineLevel="1" x14ac:dyDescent="0.2">
      <c r="A1538" s="5" t="s">
        <v>340</v>
      </c>
      <c r="B1538" s="5" t="s">
        <v>354</v>
      </c>
      <c r="C1538" s="5" t="s">
        <v>1564</v>
      </c>
      <c r="D1538" s="5" t="s">
        <v>656</v>
      </c>
      <c r="E1538" s="5" t="s">
        <v>1562</v>
      </c>
      <c r="F1538" s="5" t="s">
        <v>14</v>
      </c>
      <c r="G1538" s="6">
        <v>33600</v>
      </c>
      <c r="H1538" s="1531" t="str">
        <f>HYPERLINK("https://adv-map.ru/place/?LINK=10bf86dc5dbb579d633c62673f06dd98","Ссылка")</f>
        <v>Ссылка</v>
      </c>
      <c r="I1538" s="5" t="s">
        <v>1565</v>
      </c>
    </row>
    <row r="1539" spans="1:9" s="4" customFormat="1" ht="38.1" customHeight="1" outlineLevel="1" x14ac:dyDescent="0.2">
      <c r="A1539" s="5" t="s">
        <v>340</v>
      </c>
      <c r="B1539" s="5" t="s">
        <v>354</v>
      </c>
      <c r="C1539" s="5" t="s">
        <v>1566</v>
      </c>
      <c r="D1539" s="5" t="s">
        <v>347</v>
      </c>
      <c r="E1539" s="5" t="s">
        <v>348</v>
      </c>
      <c r="F1539" s="5" t="s">
        <v>14</v>
      </c>
      <c r="G1539" s="6">
        <v>22680</v>
      </c>
      <c r="H1539" s="1532" t="str">
        <f>HYPERLINK("https://adv-map.ru/place/?LINK=bcda7e5fe98773b538933443a636922f","Ссылка")</f>
        <v>Ссылка</v>
      </c>
      <c r="I1539" s="5" t="s">
        <v>1567</v>
      </c>
    </row>
    <row r="1540" spans="1:9" s="4" customFormat="1" ht="51" customHeight="1" outlineLevel="1" x14ac:dyDescent="0.2">
      <c r="A1540" s="5" t="s">
        <v>340</v>
      </c>
      <c r="B1540" s="5" t="s">
        <v>354</v>
      </c>
      <c r="C1540" s="5" t="s">
        <v>1566</v>
      </c>
      <c r="D1540" s="5" t="s">
        <v>347</v>
      </c>
      <c r="E1540" s="5" t="s">
        <v>348</v>
      </c>
      <c r="F1540" s="5" t="s">
        <v>16</v>
      </c>
      <c r="G1540" s="6">
        <v>17640</v>
      </c>
      <c r="H1540" s="1533" t="str">
        <f>HYPERLINK("https://adv-map.ru/place/?LINK=28185f1bedb290a2802e75a361a2bb4d","Ссылка")</f>
        <v>Ссылка</v>
      </c>
      <c r="I1540" s="5" t="s">
        <v>1567</v>
      </c>
    </row>
    <row r="1541" spans="1:9" s="4" customFormat="1" ht="38.1" customHeight="1" outlineLevel="1" x14ac:dyDescent="0.2">
      <c r="A1541" s="5" t="s">
        <v>340</v>
      </c>
      <c r="B1541" s="5" t="s">
        <v>354</v>
      </c>
      <c r="C1541" s="5" t="s">
        <v>1568</v>
      </c>
      <c r="D1541" s="5" t="s">
        <v>347</v>
      </c>
      <c r="E1541" s="5" t="s">
        <v>348</v>
      </c>
      <c r="F1541" s="5" t="s">
        <v>14</v>
      </c>
      <c r="G1541" s="6">
        <v>22680</v>
      </c>
      <c r="H1541" s="1534" t="str">
        <f>HYPERLINK("https://adv-map.ru/place/?LINK=64b8f2485206884caa804f8bfbec8d12","Ссылка")</f>
        <v>Ссылка</v>
      </c>
      <c r="I1541" s="5" t="s">
        <v>1569</v>
      </c>
    </row>
    <row r="1542" spans="1:9" s="4" customFormat="1" ht="38.1" customHeight="1" outlineLevel="1" x14ac:dyDescent="0.2">
      <c r="A1542" s="5" t="s">
        <v>340</v>
      </c>
      <c r="B1542" s="5" t="s">
        <v>354</v>
      </c>
      <c r="C1542" s="5" t="s">
        <v>1568</v>
      </c>
      <c r="D1542" s="5" t="s">
        <v>347</v>
      </c>
      <c r="E1542" s="5" t="s">
        <v>348</v>
      </c>
      <c r="F1542" s="5" t="s">
        <v>16</v>
      </c>
      <c r="G1542" s="6">
        <v>17640</v>
      </c>
      <c r="H1542" s="1535" t="str">
        <f>HYPERLINK("https://adv-map.ru/place/?LINK=fde90514180920ed34412669d2505f9c","Ссылка")</f>
        <v>Ссылка</v>
      </c>
      <c r="I1542" s="5" t="s">
        <v>1569</v>
      </c>
    </row>
    <row r="1543" spans="1:9" s="4" customFormat="1" ht="38.1" customHeight="1" outlineLevel="1" x14ac:dyDescent="0.2">
      <c r="A1543" s="5" t="s">
        <v>340</v>
      </c>
      <c r="B1543" s="5" t="s">
        <v>546</v>
      </c>
      <c r="C1543" s="5" t="s">
        <v>1570</v>
      </c>
      <c r="D1543" s="5" t="s">
        <v>12</v>
      </c>
      <c r="E1543" s="5" t="s">
        <v>13</v>
      </c>
      <c r="F1543" s="5" t="s">
        <v>14</v>
      </c>
      <c r="G1543" s="6">
        <v>31500</v>
      </c>
      <c r="H1543" s="1536" t="str">
        <f>HYPERLINK("https://adv-map.ru/place/?LINK=ddd11c05e4a0854bed7cc3b646550b11","Ссылка")</f>
        <v>Ссылка</v>
      </c>
      <c r="I1543" s="5" t="s">
        <v>1571</v>
      </c>
    </row>
    <row r="1544" spans="1:9" s="4" customFormat="1" ht="38.1" customHeight="1" outlineLevel="1" x14ac:dyDescent="0.2">
      <c r="A1544" s="5" t="s">
        <v>340</v>
      </c>
      <c r="B1544" s="5" t="s">
        <v>546</v>
      </c>
      <c r="C1544" s="5" t="s">
        <v>1570</v>
      </c>
      <c r="D1544" s="5" t="s">
        <v>12</v>
      </c>
      <c r="E1544" s="5" t="s">
        <v>13</v>
      </c>
      <c r="F1544" s="5" t="s">
        <v>16</v>
      </c>
      <c r="G1544" s="6">
        <v>25200</v>
      </c>
      <c r="H1544" s="1537" t="str">
        <f>HYPERLINK("https://adv-map.ru/place/?LINK=9d32b1d961c2f254170204c5f5f880de","Ссылка")</f>
        <v>Ссылка</v>
      </c>
      <c r="I1544" s="5" t="s">
        <v>1571</v>
      </c>
    </row>
    <row r="1545" spans="1:9" s="4" customFormat="1" ht="38.1" customHeight="1" outlineLevel="1" x14ac:dyDescent="0.2">
      <c r="A1545" s="5" t="s">
        <v>340</v>
      </c>
      <c r="B1545" s="5" t="s">
        <v>546</v>
      </c>
      <c r="C1545" s="5" t="s">
        <v>1572</v>
      </c>
      <c r="D1545" s="5" t="s">
        <v>347</v>
      </c>
      <c r="E1545" s="5" t="s">
        <v>348</v>
      </c>
      <c r="F1545" s="5" t="s">
        <v>14</v>
      </c>
      <c r="G1545" s="6">
        <v>22680</v>
      </c>
      <c r="H1545" s="1538" t="str">
        <f>HYPERLINK("https://adv-map.ru/place/?LINK=ac0725e62cbf249b5746a48bd7d9967e","Ссылка")</f>
        <v>Ссылка</v>
      </c>
      <c r="I1545" s="5" t="s">
        <v>1573</v>
      </c>
    </row>
    <row r="1546" spans="1:9" s="4" customFormat="1" ht="38.1" customHeight="1" outlineLevel="1" x14ac:dyDescent="0.2">
      <c r="A1546" s="5" t="s">
        <v>340</v>
      </c>
      <c r="B1546" s="5" t="s">
        <v>546</v>
      </c>
      <c r="C1546" s="5" t="s">
        <v>1572</v>
      </c>
      <c r="D1546" s="5" t="s">
        <v>347</v>
      </c>
      <c r="E1546" s="5" t="s">
        <v>348</v>
      </c>
      <c r="F1546" s="5" t="s">
        <v>16</v>
      </c>
      <c r="G1546" s="6">
        <v>17640</v>
      </c>
      <c r="H1546" s="1539" t="str">
        <f>HYPERLINK("https://adv-map.ru/place/?LINK=f98dc3a8b32930c2f83f79894c529361","Ссылка")</f>
        <v>Ссылка</v>
      </c>
      <c r="I1546" s="5" t="s">
        <v>1574</v>
      </c>
    </row>
    <row r="1547" spans="1:9" s="4" customFormat="1" ht="38.1" customHeight="1" outlineLevel="1" x14ac:dyDescent="0.2">
      <c r="A1547" s="5" t="s">
        <v>340</v>
      </c>
      <c r="B1547" s="5" t="s">
        <v>546</v>
      </c>
      <c r="C1547" s="5" t="s">
        <v>1575</v>
      </c>
      <c r="D1547" s="5" t="s">
        <v>12</v>
      </c>
      <c r="E1547" s="5" t="s">
        <v>13</v>
      </c>
      <c r="F1547" s="5" t="s">
        <v>14</v>
      </c>
      <c r="G1547" s="6">
        <v>31500</v>
      </c>
      <c r="H1547" s="1540" t="str">
        <f>HYPERLINK("https://adv-map.ru/place/?LINK=8be5e81045a1e7cfd5b203eea8d3a930","Ссылка")</f>
        <v>Ссылка</v>
      </c>
      <c r="I1547" s="5" t="s">
        <v>1576</v>
      </c>
    </row>
    <row r="1548" spans="1:9" s="4" customFormat="1" ht="38.1" customHeight="1" outlineLevel="1" x14ac:dyDescent="0.2">
      <c r="A1548" s="5" t="s">
        <v>340</v>
      </c>
      <c r="B1548" s="5" t="s">
        <v>546</v>
      </c>
      <c r="C1548" s="5" t="s">
        <v>1575</v>
      </c>
      <c r="D1548" s="5" t="s">
        <v>12</v>
      </c>
      <c r="E1548" s="5" t="s">
        <v>13</v>
      </c>
      <c r="F1548" s="5" t="s">
        <v>16</v>
      </c>
      <c r="G1548" s="6">
        <v>25200</v>
      </c>
      <c r="H1548" s="1541" t="str">
        <f>HYPERLINK("https://adv-map.ru/place/?LINK=801d2eab62d5cb5dfb2d5b39e7bd5df7","Ссылка")</f>
        <v>Ссылка</v>
      </c>
      <c r="I1548" s="5" t="s">
        <v>1576</v>
      </c>
    </row>
    <row r="1549" spans="1:9" s="4" customFormat="1" ht="38.1" customHeight="1" outlineLevel="1" x14ac:dyDescent="0.2">
      <c r="A1549" s="5" t="s">
        <v>340</v>
      </c>
      <c r="B1549" s="5" t="s">
        <v>546</v>
      </c>
      <c r="C1549" s="5" t="s">
        <v>1577</v>
      </c>
      <c r="D1549" s="5" t="s">
        <v>12</v>
      </c>
      <c r="E1549" s="5" t="s">
        <v>13</v>
      </c>
      <c r="F1549" s="5" t="s">
        <v>14</v>
      </c>
      <c r="G1549" s="6">
        <v>31500</v>
      </c>
      <c r="H1549" s="1542" t="str">
        <f>HYPERLINK("https://adv-map.ru/place/?LINK=b8e71f8455884f04102dad617b88a695","Ссылка")</f>
        <v>Ссылка</v>
      </c>
      <c r="I1549" s="5" t="s">
        <v>1578</v>
      </c>
    </row>
    <row r="1550" spans="1:9" s="4" customFormat="1" ht="38.1" customHeight="1" outlineLevel="1" x14ac:dyDescent="0.2">
      <c r="A1550" s="5" t="s">
        <v>340</v>
      </c>
      <c r="B1550" s="5" t="s">
        <v>546</v>
      </c>
      <c r="C1550" s="5" t="s">
        <v>1577</v>
      </c>
      <c r="D1550" s="5" t="s">
        <v>12</v>
      </c>
      <c r="E1550" s="5" t="s">
        <v>13</v>
      </c>
      <c r="F1550" s="5" t="s">
        <v>16</v>
      </c>
      <c r="G1550" s="6">
        <v>25200</v>
      </c>
      <c r="H1550" s="1543" t="str">
        <f>HYPERLINK("https://adv-map.ru/place/?LINK=6213da1a569bd7d0caad6ff66e369fd6","Ссылка")</f>
        <v>Ссылка</v>
      </c>
      <c r="I1550" s="5" t="s">
        <v>1578</v>
      </c>
    </row>
    <row r="1551" spans="1:9" s="4" customFormat="1" ht="38.1" customHeight="1" outlineLevel="1" x14ac:dyDescent="0.2">
      <c r="A1551" s="5" t="s">
        <v>340</v>
      </c>
      <c r="B1551" s="5" t="s">
        <v>546</v>
      </c>
      <c r="C1551" s="5" t="s">
        <v>1579</v>
      </c>
      <c r="D1551" s="5" t="s">
        <v>12</v>
      </c>
      <c r="E1551" s="5" t="s">
        <v>13</v>
      </c>
      <c r="F1551" s="5" t="s">
        <v>14</v>
      </c>
      <c r="G1551" s="6">
        <v>31500</v>
      </c>
      <c r="H1551" s="1544" t="str">
        <f>HYPERLINK("https://adv-map.ru/place/?LINK=3df98c8e7a7183efcb4ad0d7641bb08c","Ссылка")</f>
        <v>Ссылка</v>
      </c>
      <c r="I1551" s="5" t="s">
        <v>1580</v>
      </c>
    </row>
    <row r="1552" spans="1:9" s="4" customFormat="1" ht="38.1" customHeight="1" outlineLevel="1" x14ac:dyDescent="0.2">
      <c r="A1552" s="5" t="s">
        <v>340</v>
      </c>
      <c r="B1552" s="5" t="s">
        <v>546</v>
      </c>
      <c r="C1552" s="5" t="s">
        <v>1579</v>
      </c>
      <c r="D1552" s="5" t="s">
        <v>12</v>
      </c>
      <c r="E1552" s="5" t="s">
        <v>13</v>
      </c>
      <c r="F1552" s="5" t="s">
        <v>16</v>
      </c>
      <c r="G1552" s="6">
        <v>25200</v>
      </c>
      <c r="H1552" s="1545" t="str">
        <f>HYPERLINK("https://adv-map.ru/place/?LINK=312d9f7c810ff39fe707a5162fa20b9e","Ссылка")</f>
        <v>Ссылка</v>
      </c>
      <c r="I1552" s="5" t="s">
        <v>1580</v>
      </c>
    </row>
    <row r="1553" spans="1:9" s="4" customFormat="1" ht="38.1" customHeight="1" outlineLevel="1" x14ac:dyDescent="0.2">
      <c r="A1553" s="5" t="s">
        <v>340</v>
      </c>
      <c r="B1553" s="5" t="s">
        <v>546</v>
      </c>
      <c r="C1553" s="5" t="s">
        <v>1581</v>
      </c>
      <c r="D1553" s="5" t="s">
        <v>12</v>
      </c>
      <c r="E1553" s="5" t="s">
        <v>13</v>
      </c>
      <c r="F1553" s="5" t="s">
        <v>14</v>
      </c>
      <c r="G1553" s="6">
        <v>35700</v>
      </c>
      <c r="H1553" s="1546" t="str">
        <f>HYPERLINK("https://adv-map.ru/place/?LINK=3efd7760994cacefd3f8aa16c81a172a","Ссылка")</f>
        <v>Ссылка</v>
      </c>
      <c r="I1553" s="5" t="s">
        <v>1582</v>
      </c>
    </row>
    <row r="1554" spans="1:9" s="4" customFormat="1" ht="38.1" customHeight="1" outlineLevel="1" x14ac:dyDescent="0.2">
      <c r="A1554" s="5" t="s">
        <v>340</v>
      </c>
      <c r="B1554" s="5" t="s">
        <v>546</v>
      </c>
      <c r="C1554" s="5" t="s">
        <v>1581</v>
      </c>
      <c r="D1554" s="5" t="s">
        <v>12</v>
      </c>
      <c r="E1554" s="5" t="s">
        <v>13</v>
      </c>
      <c r="F1554" s="5" t="s">
        <v>16</v>
      </c>
      <c r="G1554" s="6">
        <v>27300</v>
      </c>
      <c r="H1554" s="1547" t="str">
        <f>HYPERLINK("https://adv-map.ru/place/?LINK=f39241ba978ad481d85b61a8866c26f5","Ссылка")</f>
        <v>Ссылка</v>
      </c>
      <c r="I1554" s="5" t="s">
        <v>1582</v>
      </c>
    </row>
    <row r="1555" spans="1:9" s="4" customFormat="1" ht="38.1" customHeight="1" outlineLevel="1" x14ac:dyDescent="0.2">
      <c r="A1555" s="5" t="s">
        <v>340</v>
      </c>
      <c r="B1555" s="5" t="s">
        <v>341</v>
      </c>
      <c r="C1555" s="5" t="s">
        <v>1583</v>
      </c>
      <c r="D1555" s="5" t="s">
        <v>347</v>
      </c>
      <c r="E1555" s="5" t="s">
        <v>348</v>
      </c>
      <c r="F1555" s="5" t="s">
        <v>14</v>
      </c>
      <c r="G1555" s="6">
        <v>22680</v>
      </c>
      <c r="H1555" s="1548" t="str">
        <f>HYPERLINK("https://adv-map.ru/place/?LINK=de19c73f56bc5c9b5ed734c001ebce8f","Ссылка")</f>
        <v>Ссылка</v>
      </c>
      <c r="I1555" s="5" t="s">
        <v>1584</v>
      </c>
    </row>
    <row r="1556" spans="1:9" s="4" customFormat="1" ht="38.1" customHeight="1" outlineLevel="1" x14ac:dyDescent="0.2">
      <c r="A1556" s="5" t="s">
        <v>340</v>
      </c>
      <c r="B1556" s="5" t="s">
        <v>341</v>
      </c>
      <c r="C1556" s="5" t="s">
        <v>1583</v>
      </c>
      <c r="D1556" s="5" t="s">
        <v>347</v>
      </c>
      <c r="E1556" s="5" t="s">
        <v>348</v>
      </c>
      <c r="F1556" s="5" t="s">
        <v>16</v>
      </c>
      <c r="G1556" s="6">
        <v>17640</v>
      </c>
      <c r="H1556" s="1549" t="str">
        <f>HYPERLINK("https://adv-map.ru/place/?LINK=114111de8dc0cc7c54c7d1f3a430c0a5","Ссылка")</f>
        <v>Ссылка</v>
      </c>
      <c r="I1556" s="5" t="s">
        <v>1584</v>
      </c>
    </row>
    <row r="1557" spans="1:9" s="4" customFormat="1" ht="38.1" customHeight="1" outlineLevel="1" x14ac:dyDescent="0.2">
      <c r="A1557" s="5" t="s">
        <v>340</v>
      </c>
      <c r="B1557" s="5" t="s">
        <v>134</v>
      </c>
      <c r="C1557" s="5" t="s">
        <v>1585</v>
      </c>
      <c r="D1557" s="5" t="s">
        <v>351</v>
      </c>
      <c r="E1557" s="5" t="s">
        <v>352</v>
      </c>
      <c r="F1557" s="5" t="s">
        <v>14</v>
      </c>
      <c r="G1557" s="6">
        <v>115500</v>
      </c>
      <c r="H1557" s="1550" t="str">
        <f>HYPERLINK("https://adv-map.ru/place/?LINK=a313ba2aa51080f04a8a52b9bedfed3b","Ссылка")</f>
        <v>Ссылка</v>
      </c>
      <c r="I1557" s="5" t="s">
        <v>1586</v>
      </c>
    </row>
    <row r="1558" spans="1:9" s="4" customFormat="1" ht="38.1" customHeight="1" outlineLevel="1" x14ac:dyDescent="0.2">
      <c r="A1558" s="5" t="s">
        <v>340</v>
      </c>
      <c r="B1558" s="5" t="s">
        <v>134</v>
      </c>
      <c r="C1558" s="5" t="s">
        <v>1585</v>
      </c>
      <c r="D1558" s="5" t="s">
        <v>351</v>
      </c>
      <c r="E1558" s="5" t="s">
        <v>352</v>
      </c>
      <c r="F1558" s="5" t="s">
        <v>16</v>
      </c>
      <c r="G1558" s="6">
        <v>94500</v>
      </c>
      <c r="H1558" s="1551" t="str">
        <f>HYPERLINK("https://adv-map.ru/place/?LINK=b4dc576afb1e470be7d0cebc85d583c3","Ссылка")</f>
        <v>Ссылка</v>
      </c>
      <c r="I1558" s="5" t="s">
        <v>1586</v>
      </c>
    </row>
    <row r="1559" spans="1:9" s="4" customFormat="1" ht="38.1" customHeight="1" outlineLevel="1" x14ac:dyDescent="0.2">
      <c r="A1559" s="5" t="s">
        <v>340</v>
      </c>
      <c r="B1559" s="5" t="s">
        <v>134</v>
      </c>
      <c r="C1559" s="5" t="s">
        <v>1587</v>
      </c>
      <c r="D1559" s="5" t="s">
        <v>347</v>
      </c>
      <c r="E1559" s="5" t="s">
        <v>348</v>
      </c>
      <c r="F1559" s="5" t="s">
        <v>14</v>
      </c>
      <c r="G1559" s="6">
        <v>22680</v>
      </c>
      <c r="H1559" s="1552" t="str">
        <f>HYPERLINK("https://adv-map.ru/place/?LINK=a41315d8e97897085ec3a8a686e896e7","Ссылка")</f>
        <v>Ссылка</v>
      </c>
      <c r="I1559" s="5" t="s">
        <v>1588</v>
      </c>
    </row>
    <row r="1560" spans="1:9" s="4" customFormat="1" ht="38.1" customHeight="1" outlineLevel="1" x14ac:dyDescent="0.2">
      <c r="A1560" s="5" t="s">
        <v>340</v>
      </c>
      <c r="B1560" s="5" t="s">
        <v>134</v>
      </c>
      <c r="C1560" s="5" t="s">
        <v>1587</v>
      </c>
      <c r="D1560" s="5" t="s">
        <v>347</v>
      </c>
      <c r="E1560" s="5" t="s">
        <v>348</v>
      </c>
      <c r="F1560" s="5" t="s">
        <v>16</v>
      </c>
      <c r="G1560" s="6">
        <v>17640</v>
      </c>
      <c r="H1560" s="1553" t="str">
        <f>HYPERLINK("https://adv-map.ru/place/?LINK=00efb9bee517445c8d155e2598ba3c52","Ссылка")</f>
        <v>Ссылка</v>
      </c>
      <c r="I1560" s="5" t="s">
        <v>1588</v>
      </c>
    </row>
    <row r="1561" spans="1:9" s="4" customFormat="1" ht="38.1" customHeight="1" outlineLevel="1" x14ac:dyDescent="0.2">
      <c r="A1561" s="5" t="s">
        <v>340</v>
      </c>
      <c r="B1561" s="5" t="s">
        <v>134</v>
      </c>
      <c r="C1561" s="5" t="s">
        <v>1589</v>
      </c>
      <c r="D1561" s="5" t="s">
        <v>12</v>
      </c>
      <c r="E1561" s="5" t="s">
        <v>13</v>
      </c>
      <c r="F1561" s="5" t="s">
        <v>16</v>
      </c>
      <c r="G1561" s="6">
        <v>37800</v>
      </c>
      <c r="H1561" s="1554" t="str">
        <f>HYPERLINK("https://adv-map.ru/place/?LINK=e8b6780abc639858089c1e49bf05da0c","Ссылка")</f>
        <v>Ссылка</v>
      </c>
      <c r="I1561" s="5" t="s">
        <v>1590</v>
      </c>
    </row>
    <row r="1562" spans="1:9" s="4" customFormat="1" ht="38.1" customHeight="1" outlineLevel="1" x14ac:dyDescent="0.2">
      <c r="A1562" s="5" t="s">
        <v>340</v>
      </c>
      <c r="B1562" s="5" t="s">
        <v>134</v>
      </c>
      <c r="C1562" s="5" t="s">
        <v>1591</v>
      </c>
      <c r="D1562" s="5" t="s">
        <v>49</v>
      </c>
      <c r="E1562" s="5" t="s">
        <v>13</v>
      </c>
      <c r="F1562" s="5" t="s">
        <v>28</v>
      </c>
      <c r="G1562" s="6">
        <v>44100</v>
      </c>
      <c r="H1562" s="1555" t="str">
        <f>HYPERLINK("https://adv-map.ru/place/?LINK=bc9fc329191507333c74703afa5a6399","Ссылка")</f>
        <v>Ссылка</v>
      </c>
      <c r="I1562" s="5" t="s">
        <v>1592</v>
      </c>
    </row>
    <row r="1563" spans="1:9" s="4" customFormat="1" ht="38.1" customHeight="1" outlineLevel="1" x14ac:dyDescent="0.2">
      <c r="A1563" s="5" t="s">
        <v>340</v>
      </c>
      <c r="B1563" s="5" t="s">
        <v>134</v>
      </c>
      <c r="C1563" s="5" t="s">
        <v>1591</v>
      </c>
      <c r="D1563" s="5" t="s">
        <v>49</v>
      </c>
      <c r="E1563" s="5" t="s">
        <v>13</v>
      </c>
      <c r="F1563" s="5" t="s">
        <v>30</v>
      </c>
      <c r="G1563" s="6">
        <v>44100</v>
      </c>
      <c r="H1563" s="1556" t="str">
        <f>HYPERLINK("https://adv-map.ru/place/?LINK=f1d759ed4ca78b80dc46a208970e1ddd","Ссылка")</f>
        <v>Ссылка</v>
      </c>
      <c r="I1563" s="5" t="s">
        <v>1593</v>
      </c>
    </row>
    <row r="1564" spans="1:9" s="4" customFormat="1" ht="38.1" customHeight="1" outlineLevel="1" x14ac:dyDescent="0.2">
      <c r="A1564" s="5" t="s">
        <v>340</v>
      </c>
      <c r="B1564" s="5" t="s">
        <v>134</v>
      </c>
      <c r="C1564" s="5" t="s">
        <v>1591</v>
      </c>
      <c r="D1564" s="5" t="s">
        <v>49</v>
      </c>
      <c r="E1564" s="5" t="s">
        <v>13</v>
      </c>
      <c r="F1564" s="5" t="s">
        <v>31</v>
      </c>
      <c r="G1564" s="6">
        <v>44100</v>
      </c>
      <c r="H1564" s="1557" t="str">
        <f>HYPERLINK("https://adv-map.ru/place/?LINK=821fcd71bbc0a59511b27bb496ba5c26","Ссылка")</f>
        <v>Ссылка</v>
      </c>
      <c r="I1564" s="5" t="s">
        <v>1594</v>
      </c>
    </row>
    <row r="1565" spans="1:9" s="4" customFormat="1" ht="38.1" customHeight="1" outlineLevel="1" x14ac:dyDescent="0.2">
      <c r="A1565" s="5" t="s">
        <v>340</v>
      </c>
      <c r="B1565" s="5" t="s">
        <v>134</v>
      </c>
      <c r="C1565" s="5" t="s">
        <v>1595</v>
      </c>
      <c r="D1565" s="5" t="s">
        <v>49</v>
      </c>
      <c r="E1565" s="5" t="s">
        <v>13</v>
      </c>
      <c r="F1565" s="5" t="s">
        <v>28</v>
      </c>
      <c r="G1565" s="6">
        <v>44100</v>
      </c>
      <c r="H1565" s="1558" t="str">
        <f>HYPERLINK("https://adv-map.ru/place/?LINK=7328c1ffcb33327fadad47b0f952c7be","Ссылка")</f>
        <v>Ссылка</v>
      </c>
      <c r="I1565" s="5" t="s">
        <v>1596</v>
      </c>
    </row>
    <row r="1566" spans="1:9" s="4" customFormat="1" ht="38.1" customHeight="1" outlineLevel="1" x14ac:dyDescent="0.2">
      <c r="A1566" s="5" t="s">
        <v>340</v>
      </c>
      <c r="B1566" s="5" t="s">
        <v>134</v>
      </c>
      <c r="C1566" s="5" t="s">
        <v>1595</v>
      </c>
      <c r="D1566" s="5" t="s">
        <v>49</v>
      </c>
      <c r="E1566" s="5" t="s">
        <v>13</v>
      </c>
      <c r="F1566" s="5" t="s">
        <v>30</v>
      </c>
      <c r="G1566" s="6">
        <v>44100</v>
      </c>
      <c r="H1566" s="1559" t="str">
        <f>HYPERLINK("https://adv-map.ru/place/?LINK=35a8be6b149032e2fa873f37d6e78dff","Ссылка")</f>
        <v>Ссылка</v>
      </c>
      <c r="I1566" s="5" t="s">
        <v>1596</v>
      </c>
    </row>
    <row r="1567" spans="1:9" s="4" customFormat="1" ht="38.1" customHeight="1" outlineLevel="1" x14ac:dyDescent="0.2">
      <c r="A1567" s="5" t="s">
        <v>340</v>
      </c>
      <c r="B1567" s="5" t="s">
        <v>134</v>
      </c>
      <c r="C1567" s="5" t="s">
        <v>1595</v>
      </c>
      <c r="D1567" s="5" t="s">
        <v>49</v>
      </c>
      <c r="E1567" s="5" t="s">
        <v>13</v>
      </c>
      <c r="F1567" s="5" t="s">
        <v>31</v>
      </c>
      <c r="G1567" s="6">
        <v>44100</v>
      </c>
      <c r="H1567" s="1560" t="str">
        <f>HYPERLINK("https://adv-map.ru/place/?LINK=729142075c607ba4e3e68ca80fbf0346","Ссылка")</f>
        <v>Ссылка</v>
      </c>
      <c r="I1567" s="5" t="s">
        <v>1596</v>
      </c>
    </row>
    <row r="1568" spans="1:9" s="4" customFormat="1" ht="38.1" customHeight="1" outlineLevel="1" x14ac:dyDescent="0.2">
      <c r="A1568" s="5" t="s">
        <v>340</v>
      </c>
      <c r="B1568" s="5" t="s">
        <v>134</v>
      </c>
      <c r="C1568" s="5" t="s">
        <v>1595</v>
      </c>
      <c r="D1568" s="5" t="s">
        <v>12</v>
      </c>
      <c r="E1568" s="5" t="s">
        <v>13</v>
      </c>
      <c r="F1568" s="5" t="s">
        <v>16</v>
      </c>
      <c r="G1568" s="6">
        <v>37800</v>
      </c>
      <c r="H1568" s="1561" t="str">
        <f>HYPERLINK("https://adv-map.ru/place/?LINK=10886a7764c839b799ff72077d671749","Ссылка")</f>
        <v>Ссылка</v>
      </c>
      <c r="I1568" s="5" t="s">
        <v>1597</v>
      </c>
    </row>
    <row r="1569" spans="1:9" s="4" customFormat="1" ht="38.1" customHeight="1" outlineLevel="1" x14ac:dyDescent="0.2">
      <c r="A1569" s="5" t="s">
        <v>340</v>
      </c>
      <c r="B1569" s="5" t="s">
        <v>134</v>
      </c>
      <c r="C1569" s="5" t="s">
        <v>1598</v>
      </c>
      <c r="D1569" s="5" t="s">
        <v>12</v>
      </c>
      <c r="E1569" s="5" t="s">
        <v>13</v>
      </c>
      <c r="F1569" s="5" t="s">
        <v>16</v>
      </c>
      <c r="G1569" s="6">
        <v>37800</v>
      </c>
      <c r="H1569" s="1562" t="str">
        <f>HYPERLINK("https://adv-map.ru/place/?LINK=9097960d075e13c8e729b3f6d5c1200a","Ссылка")</f>
        <v>Ссылка</v>
      </c>
      <c r="I1569" s="5" t="s">
        <v>1599</v>
      </c>
    </row>
    <row r="1570" spans="1:9" s="4" customFormat="1" ht="38.1" customHeight="1" outlineLevel="1" x14ac:dyDescent="0.2">
      <c r="A1570" s="5" t="s">
        <v>340</v>
      </c>
      <c r="B1570" s="5" t="s">
        <v>134</v>
      </c>
      <c r="C1570" s="5" t="s">
        <v>1600</v>
      </c>
      <c r="D1570" s="5" t="s">
        <v>464</v>
      </c>
      <c r="E1570" s="5" t="s">
        <v>13</v>
      </c>
      <c r="F1570" s="5" t="s">
        <v>28</v>
      </c>
      <c r="G1570" s="6">
        <v>57750</v>
      </c>
      <c r="H1570" s="1563" t="str">
        <f>HYPERLINK("https://adv-map.ru/place/?LINK=d3d3275e6369baa71eeddd894abf01fb","Ссылка")</f>
        <v>Ссылка</v>
      </c>
      <c r="I1570" s="5" t="s">
        <v>1601</v>
      </c>
    </row>
    <row r="1571" spans="1:9" s="4" customFormat="1" ht="38.1" customHeight="1" outlineLevel="1" x14ac:dyDescent="0.2">
      <c r="A1571" s="5" t="s">
        <v>340</v>
      </c>
      <c r="B1571" s="5" t="s">
        <v>134</v>
      </c>
      <c r="C1571" s="5" t="s">
        <v>1600</v>
      </c>
      <c r="D1571" s="5" t="s">
        <v>464</v>
      </c>
      <c r="E1571" s="5" t="s">
        <v>13</v>
      </c>
      <c r="F1571" s="5" t="s">
        <v>466</v>
      </c>
      <c r="G1571" s="6">
        <v>57750</v>
      </c>
      <c r="H1571" s="1564" t="str">
        <f>HYPERLINK("https://adv-map.ru/place/?LINK=56cd07908c4955cb988fb892fae57dff","Ссылка")</f>
        <v>Ссылка</v>
      </c>
      <c r="I1571" s="5" t="s">
        <v>1602</v>
      </c>
    </row>
    <row r="1572" spans="1:9" s="4" customFormat="1" ht="38.1" customHeight="1" outlineLevel="1" x14ac:dyDescent="0.2">
      <c r="A1572" s="5" t="s">
        <v>340</v>
      </c>
      <c r="B1572" s="5" t="s">
        <v>134</v>
      </c>
      <c r="C1572" s="5" t="s">
        <v>1600</v>
      </c>
      <c r="D1572" s="5" t="s">
        <v>464</v>
      </c>
      <c r="E1572" s="5" t="s">
        <v>13</v>
      </c>
      <c r="F1572" s="5" t="s">
        <v>467</v>
      </c>
      <c r="G1572" s="6">
        <v>57750</v>
      </c>
      <c r="H1572" s="1565" t="str">
        <f>HYPERLINK("https://adv-map.ru/place/?LINK=4b546469b2d7523a2fa6e260dd74e118","Ссылка")</f>
        <v>Ссылка</v>
      </c>
      <c r="I1572" s="5" t="s">
        <v>1603</v>
      </c>
    </row>
    <row r="1573" spans="1:9" s="4" customFormat="1" ht="38.1" customHeight="1" outlineLevel="1" x14ac:dyDescent="0.2">
      <c r="A1573" s="5" t="s">
        <v>340</v>
      </c>
      <c r="B1573" s="5" t="s">
        <v>134</v>
      </c>
      <c r="C1573" s="5" t="s">
        <v>1600</v>
      </c>
      <c r="D1573" s="5" t="s">
        <v>464</v>
      </c>
      <c r="E1573" s="5" t="s">
        <v>13</v>
      </c>
      <c r="F1573" s="5" t="s">
        <v>468</v>
      </c>
      <c r="G1573" s="6">
        <v>57750</v>
      </c>
      <c r="H1573" s="1566" t="str">
        <f>HYPERLINK("https://adv-map.ru/place/?LINK=20df3f46d82e885c5927fdbe1deaba3a","Ссылка")</f>
        <v>Ссылка</v>
      </c>
      <c r="I1573" s="5" t="s">
        <v>1604</v>
      </c>
    </row>
    <row r="1574" spans="1:9" s="4" customFormat="1" ht="38.1" customHeight="1" outlineLevel="1" x14ac:dyDescent="0.2">
      <c r="A1574" s="5" t="s">
        <v>340</v>
      </c>
      <c r="B1574" s="5" t="s">
        <v>134</v>
      </c>
      <c r="C1574" s="5" t="s">
        <v>1600</v>
      </c>
      <c r="D1574" s="5" t="s">
        <v>464</v>
      </c>
      <c r="E1574" s="5" t="s">
        <v>13</v>
      </c>
      <c r="F1574" s="5" t="s">
        <v>30</v>
      </c>
      <c r="G1574" s="6">
        <v>57750</v>
      </c>
      <c r="H1574" s="1567" t="str">
        <f>HYPERLINK("https://adv-map.ru/place/?LINK=94610b12c4621caa621e34b0fff5019b","Ссылка")</f>
        <v>Ссылка</v>
      </c>
      <c r="I1574" s="5" t="s">
        <v>1605</v>
      </c>
    </row>
    <row r="1575" spans="1:9" s="4" customFormat="1" ht="38.1" customHeight="1" outlineLevel="1" x14ac:dyDescent="0.2">
      <c r="A1575" s="5" t="s">
        <v>340</v>
      </c>
      <c r="B1575" s="5" t="s">
        <v>134</v>
      </c>
      <c r="C1575" s="5" t="s">
        <v>1600</v>
      </c>
      <c r="D1575" s="5" t="s">
        <v>464</v>
      </c>
      <c r="E1575" s="5" t="s">
        <v>13</v>
      </c>
      <c r="F1575" s="5" t="s">
        <v>31</v>
      </c>
      <c r="G1575" s="6">
        <v>57750</v>
      </c>
      <c r="H1575" s="1568" t="str">
        <f>HYPERLINK("https://adv-map.ru/place/?LINK=78bf7a9e033428b1826e9e79e40f6776","Ссылка")</f>
        <v>Ссылка</v>
      </c>
      <c r="I1575" s="5" t="s">
        <v>1606</v>
      </c>
    </row>
    <row r="1576" spans="1:9" s="4" customFormat="1" ht="38.1" customHeight="1" outlineLevel="1" x14ac:dyDescent="0.2">
      <c r="A1576" s="5" t="s">
        <v>340</v>
      </c>
      <c r="B1576" s="5" t="s">
        <v>134</v>
      </c>
      <c r="C1576" s="5" t="s">
        <v>1600</v>
      </c>
      <c r="D1576" s="5" t="s">
        <v>464</v>
      </c>
      <c r="E1576" s="5" t="s">
        <v>13</v>
      </c>
      <c r="F1576" s="5" t="s">
        <v>32</v>
      </c>
      <c r="G1576" s="6">
        <v>57750</v>
      </c>
      <c r="H1576" s="1569" t="str">
        <f>HYPERLINK("https://adv-map.ru/place/?LINK=477949f1597cd5785ad82899a569b96b","Ссылка")</f>
        <v>Ссылка</v>
      </c>
      <c r="I1576" s="5" t="s">
        <v>1607</v>
      </c>
    </row>
    <row r="1577" spans="1:9" s="4" customFormat="1" ht="38.1" customHeight="1" outlineLevel="1" x14ac:dyDescent="0.2">
      <c r="A1577" s="5" t="s">
        <v>340</v>
      </c>
      <c r="B1577" s="5" t="s">
        <v>134</v>
      </c>
      <c r="C1577" s="5" t="s">
        <v>1600</v>
      </c>
      <c r="D1577" s="5" t="s">
        <v>464</v>
      </c>
      <c r="E1577" s="5" t="s">
        <v>13</v>
      </c>
      <c r="F1577" s="5" t="s">
        <v>469</v>
      </c>
      <c r="G1577" s="6">
        <v>57750</v>
      </c>
      <c r="H1577" s="1570" t="str">
        <f>HYPERLINK("https://adv-map.ru/place/?LINK=aca2828c31fb8135d4a123b9b45a5acd","Ссылка")</f>
        <v>Ссылка</v>
      </c>
      <c r="I1577" s="5" t="s">
        <v>1608</v>
      </c>
    </row>
    <row r="1578" spans="1:9" s="4" customFormat="1" ht="38.1" customHeight="1" outlineLevel="1" x14ac:dyDescent="0.2">
      <c r="A1578" s="5" t="s">
        <v>340</v>
      </c>
      <c r="B1578" s="5" t="s">
        <v>134</v>
      </c>
      <c r="C1578" s="5" t="s">
        <v>1600</v>
      </c>
      <c r="D1578" s="5" t="s">
        <v>464</v>
      </c>
      <c r="E1578" s="5" t="s">
        <v>13</v>
      </c>
      <c r="F1578" s="5" t="s">
        <v>470</v>
      </c>
      <c r="G1578" s="6">
        <v>57750</v>
      </c>
      <c r="H1578" s="1571" t="str">
        <f>HYPERLINK("https://adv-map.ru/place/?LINK=c5bec8e57c64ef607452ae0a1bddff3b","Ссылка")</f>
        <v>Ссылка</v>
      </c>
      <c r="I1578" s="5" t="s">
        <v>1609</v>
      </c>
    </row>
    <row r="1579" spans="1:9" s="4" customFormat="1" ht="38.1" customHeight="1" outlineLevel="1" x14ac:dyDescent="0.2">
      <c r="A1579" s="5" t="s">
        <v>340</v>
      </c>
      <c r="B1579" s="5" t="s">
        <v>134</v>
      </c>
      <c r="C1579" s="5" t="s">
        <v>1600</v>
      </c>
      <c r="D1579" s="5" t="s">
        <v>464</v>
      </c>
      <c r="E1579" s="5" t="s">
        <v>13</v>
      </c>
      <c r="F1579" s="5" t="s">
        <v>471</v>
      </c>
      <c r="G1579" s="6">
        <v>57750</v>
      </c>
      <c r="H1579" s="1572" t="str">
        <f>HYPERLINK("https://adv-map.ru/place/?LINK=cd3500880edef7bad89794aae925c3fa","Ссылка")</f>
        <v>Ссылка</v>
      </c>
      <c r="I1579" s="5" t="s">
        <v>1610</v>
      </c>
    </row>
    <row r="1580" spans="1:9" s="4" customFormat="1" ht="38.1" customHeight="1" outlineLevel="1" x14ac:dyDescent="0.2">
      <c r="A1580" s="5" t="s">
        <v>340</v>
      </c>
      <c r="B1580" s="5" t="s">
        <v>134</v>
      </c>
      <c r="C1580" s="5" t="s">
        <v>1600</v>
      </c>
      <c r="D1580" s="5" t="s">
        <v>464</v>
      </c>
      <c r="E1580" s="5" t="s">
        <v>13</v>
      </c>
      <c r="F1580" s="5" t="s">
        <v>472</v>
      </c>
      <c r="G1580" s="6">
        <v>57750</v>
      </c>
      <c r="H1580" s="1573" t="str">
        <f>HYPERLINK("https://adv-map.ru/place/?LINK=01fe28c374c60533fd64e0e4f96bac80","Ссылка")</f>
        <v>Ссылка</v>
      </c>
      <c r="I1580" s="5" t="s">
        <v>1611</v>
      </c>
    </row>
    <row r="1581" spans="1:9" s="4" customFormat="1" ht="38.1" customHeight="1" outlineLevel="1" x14ac:dyDescent="0.2">
      <c r="A1581" s="5" t="s">
        <v>340</v>
      </c>
      <c r="B1581" s="5" t="s">
        <v>134</v>
      </c>
      <c r="C1581" s="5" t="s">
        <v>1600</v>
      </c>
      <c r="D1581" s="5" t="s">
        <v>464</v>
      </c>
      <c r="E1581" s="5" t="s">
        <v>13</v>
      </c>
      <c r="F1581" s="5" t="s">
        <v>473</v>
      </c>
      <c r="G1581" s="6">
        <v>57750</v>
      </c>
      <c r="H1581" s="1574" t="str">
        <f>HYPERLINK("https://adv-map.ru/place/?LINK=84603fe8e38dfb7415e6863d0e2fcaae","Ссылка")</f>
        <v>Ссылка</v>
      </c>
      <c r="I1581" s="5" t="s">
        <v>1612</v>
      </c>
    </row>
    <row r="1582" spans="1:9" s="4" customFormat="1" ht="38.1" customHeight="1" outlineLevel="1" x14ac:dyDescent="0.2">
      <c r="A1582" s="5" t="s">
        <v>340</v>
      </c>
      <c r="B1582" s="5" t="s">
        <v>652</v>
      </c>
      <c r="C1582" s="5" t="s">
        <v>1613</v>
      </c>
      <c r="D1582" s="5" t="s">
        <v>396</v>
      </c>
      <c r="E1582" s="5" t="s">
        <v>397</v>
      </c>
      <c r="F1582" s="5" t="s">
        <v>28</v>
      </c>
      <c r="G1582" s="6">
        <v>30240</v>
      </c>
      <c r="H1582" s="1575" t="str">
        <f>HYPERLINK("https://adv-map.ru/place/?LINK=ebc715447e1aac43732ee82990832580","Ссылка")</f>
        <v>Ссылка</v>
      </c>
      <c r="I1582" s="5" t="s">
        <v>1614</v>
      </c>
    </row>
    <row r="1583" spans="1:9" s="4" customFormat="1" ht="38.1" customHeight="1" outlineLevel="1" x14ac:dyDescent="0.2">
      <c r="A1583" s="5" t="s">
        <v>340</v>
      </c>
      <c r="B1583" s="5" t="s">
        <v>652</v>
      </c>
      <c r="C1583" s="5" t="s">
        <v>1613</v>
      </c>
      <c r="D1583" s="5" t="s">
        <v>396</v>
      </c>
      <c r="E1583" s="5" t="s">
        <v>397</v>
      </c>
      <c r="F1583" s="5" t="s">
        <v>30</v>
      </c>
      <c r="G1583" s="6">
        <v>22680</v>
      </c>
      <c r="H1583" s="1576" t="str">
        <f>HYPERLINK("https://adv-map.ru/place/?LINK=6a864952b8ea9585676ba3811c678167","Ссылка")</f>
        <v>Ссылка</v>
      </c>
      <c r="I1583" s="5" t="s">
        <v>1614</v>
      </c>
    </row>
    <row r="1584" spans="1:9" s="4" customFormat="1" ht="38.1" customHeight="1" outlineLevel="1" x14ac:dyDescent="0.2">
      <c r="A1584" s="5" t="s">
        <v>340</v>
      </c>
      <c r="B1584" s="5" t="s">
        <v>652</v>
      </c>
      <c r="C1584" s="5" t="s">
        <v>1613</v>
      </c>
      <c r="D1584" s="5" t="s">
        <v>396</v>
      </c>
      <c r="E1584" s="5" t="s">
        <v>397</v>
      </c>
      <c r="F1584" s="5" t="s">
        <v>31</v>
      </c>
      <c r="G1584" s="6">
        <v>17640</v>
      </c>
      <c r="H1584" s="1577" t="str">
        <f>HYPERLINK("https://adv-map.ru/place/?LINK=7fdf2c299a1040c29692c3ddde0617d2","Ссылка")</f>
        <v>Ссылка</v>
      </c>
      <c r="I1584" s="5" t="s">
        <v>1614</v>
      </c>
    </row>
    <row r="1585" spans="1:9" s="4" customFormat="1" ht="38.1" customHeight="1" outlineLevel="1" x14ac:dyDescent="0.2">
      <c r="A1585" s="5" t="s">
        <v>340</v>
      </c>
      <c r="B1585" s="5" t="s">
        <v>345</v>
      </c>
      <c r="C1585" s="5" t="s">
        <v>1615</v>
      </c>
      <c r="D1585" s="5" t="s">
        <v>347</v>
      </c>
      <c r="E1585" s="5" t="s">
        <v>348</v>
      </c>
      <c r="F1585" s="5" t="s">
        <v>14</v>
      </c>
      <c r="G1585" s="6">
        <v>20160</v>
      </c>
      <c r="H1585" s="1578" t="str">
        <f>HYPERLINK("https://adv-map.ru/place/?LINK=8f69382c0fbc3fd5dce82939d994fced","Ссылка")</f>
        <v>Ссылка</v>
      </c>
      <c r="I1585" s="5" t="s">
        <v>1616</v>
      </c>
    </row>
    <row r="1586" spans="1:9" s="4" customFormat="1" ht="38.1" customHeight="1" outlineLevel="1" x14ac:dyDescent="0.2">
      <c r="A1586" s="5" t="s">
        <v>340</v>
      </c>
      <c r="B1586" s="5" t="s">
        <v>345</v>
      </c>
      <c r="C1586" s="5" t="s">
        <v>1615</v>
      </c>
      <c r="D1586" s="5" t="s">
        <v>347</v>
      </c>
      <c r="E1586" s="5" t="s">
        <v>348</v>
      </c>
      <c r="F1586" s="5" t="s">
        <v>16</v>
      </c>
      <c r="G1586" s="6">
        <v>15120</v>
      </c>
      <c r="H1586" s="1579" t="str">
        <f>HYPERLINK("https://adv-map.ru/place/?LINK=cf48c9640aab08aac9ca88b173d023c6","Ссылка")</f>
        <v>Ссылка</v>
      </c>
      <c r="I1586" s="5" t="s">
        <v>1616</v>
      </c>
    </row>
    <row r="1587" spans="1:9" s="4" customFormat="1" ht="38.1" customHeight="1" outlineLevel="1" x14ac:dyDescent="0.2">
      <c r="A1587" s="5" t="s">
        <v>340</v>
      </c>
      <c r="B1587" s="5" t="s">
        <v>345</v>
      </c>
      <c r="C1587" s="5" t="s">
        <v>1617</v>
      </c>
      <c r="D1587" s="5" t="s">
        <v>347</v>
      </c>
      <c r="E1587" s="5" t="s">
        <v>348</v>
      </c>
      <c r="F1587" s="5" t="s">
        <v>14</v>
      </c>
      <c r="G1587" s="6">
        <v>20160</v>
      </c>
      <c r="H1587" s="1580" t="str">
        <f>HYPERLINK("https://adv-map.ru/place/?LINK=6e0fc571be4fae4687f0be52f97b904e","Ссылка")</f>
        <v>Ссылка</v>
      </c>
      <c r="I1587" s="5" t="s">
        <v>1618</v>
      </c>
    </row>
    <row r="1588" spans="1:9" s="4" customFormat="1" ht="38.1" customHeight="1" outlineLevel="1" x14ac:dyDescent="0.2">
      <c r="A1588" s="5" t="s">
        <v>340</v>
      </c>
      <c r="B1588" s="5" t="s">
        <v>345</v>
      </c>
      <c r="C1588" s="5" t="s">
        <v>1617</v>
      </c>
      <c r="D1588" s="5" t="s">
        <v>347</v>
      </c>
      <c r="E1588" s="5" t="s">
        <v>348</v>
      </c>
      <c r="F1588" s="5" t="s">
        <v>16</v>
      </c>
      <c r="G1588" s="6">
        <v>15120</v>
      </c>
      <c r="H1588" s="1581" t="str">
        <f>HYPERLINK("https://adv-map.ru/place/?LINK=6947dd994f1bd0fdad9a1472d2f8422e","Ссылка")</f>
        <v>Ссылка</v>
      </c>
      <c r="I1588" s="5" t="s">
        <v>1618</v>
      </c>
    </row>
    <row r="1589" spans="1:9" s="4" customFormat="1" ht="38.1" customHeight="1" outlineLevel="1" x14ac:dyDescent="0.2">
      <c r="A1589" s="5" t="s">
        <v>340</v>
      </c>
      <c r="B1589" s="5" t="s">
        <v>345</v>
      </c>
      <c r="C1589" s="5" t="s">
        <v>1619</v>
      </c>
      <c r="D1589" s="5" t="s">
        <v>347</v>
      </c>
      <c r="E1589" s="5" t="s">
        <v>348</v>
      </c>
      <c r="F1589" s="5" t="s">
        <v>14</v>
      </c>
      <c r="G1589" s="6">
        <v>20160</v>
      </c>
      <c r="H1589" s="1582" t="str">
        <f>HYPERLINK("https://adv-map.ru/place/?LINK=2551428404392597a061643f48ea3fe2","Ссылка")</f>
        <v>Ссылка</v>
      </c>
      <c r="I1589" s="5" t="s">
        <v>1620</v>
      </c>
    </row>
    <row r="1590" spans="1:9" s="4" customFormat="1" ht="38.1" customHeight="1" outlineLevel="1" x14ac:dyDescent="0.2">
      <c r="A1590" s="5" t="s">
        <v>340</v>
      </c>
      <c r="B1590" s="5" t="s">
        <v>345</v>
      </c>
      <c r="C1590" s="5" t="s">
        <v>1619</v>
      </c>
      <c r="D1590" s="5" t="s">
        <v>347</v>
      </c>
      <c r="E1590" s="5" t="s">
        <v>348</v>
      </c>
      <c r="F1590" s="5" t="s">
        <v>16</v>
      </c>
      <c r="G1590" s="6">
        <v>15120</v>
      </c>
      <c r="H1590" s="1583" t="str">
        <f>HYPERLINK("https://adv-map.ru/place/?LINK=2011f0293b7e41dc30d381b389d7e315","Ссылка")</f>
        <v>Ссылка</v>
      </c>
      <c r="I1590" s="5" t="s">
        <v>1620</v>
      </c>
    </row>
    <row r="1591" spans="1:9" s="4" customFormat="1" ht="38.1" customHeight="1" outlineLevel="1" x14ac:dyDescent="0.2">
      <c r="A1591" s="5" t="s">
        <v>340</v>
      </c>
      <c r="B1591" s="5" t="s">
        <v>354</v>
      </c>
      <c r="C1591" s="5" t="s">
        <v>1621</v>
      </c>
      <c r="D1591" s="5" t="s">
        <v>347</v>
      </c>
      <c r="E1591" s="5" t="s">
        <v>348</v>
      </c>
      <c r="F1591" s="5" t="s">
        <v>14</v>
      </c>
      <c r="G1591" s="6">
        <v>25200</v>
      </c>
      <c r="H1591" s="1584" t="str">
        <f>HYPERLINK("https://adv-map.ru/place/?LINK=26211e0bfeffef39a76f13a8b8a41506","Ссылка")</f>
        <v>Ссылка</v>
      </c>
      <c r="I1591" s="5" t="s">
        <v>1622</v>
      </c>
    </row>
    <row r="1592" spans="1:9" s="4" customFormat="1" ht="38.1" customHeight="1" outlineLevel="1" x14ac:dyDescent="0.2">
      <c r="A1592" s="5" t="s">
        <v>340</v>
      </c>
      <c r="B1592" s="5" t="s">
        <v>354</v>
      </c>
      <c r="C1592" s="5" t="s">
        <v>1621</v>
      </c>
      <c r="D1592" s="5" t="s">
        <v>347</v>
      </c>
      <c r="E1592" s="5" t="s">
        <v>348</v>
      </c>
      <c r="F1592" s="5" t="s">
        <v>16</v>
      </c>
      <c r="G1592" s="6">
        <v>20160</v>
      </c>
      <c r="H1592" s="1585" t="str">
        <f>HYPERLINK("https://adv-map.ru/place/?LINK=095dc546c07274ba4f52096403840c3a","Ссылка")</f>
        <v>Ссылка</v>
      </c>
      <c r="I1592" s="5" t="s">
        <v>1623</v>
      </c>
    </row>
    <row r="1593" spans="1:9" s="4" customFormat="1" ht="38.1" customHeight="1" outlineLevel="1" x14ac:dyDescent="0.2">
      <c r="A1593" s="5" t="s">
        <v>340</v>
      </c>
      <c r="B1593" s="5" t="s">
        <v>354</v>
      </c>
      <c r="C1593" s="5" t="s">
        <v>1624</v>
      </c>
      <c r="D1593" s="5" t="s">
        <v>347</v>
      </c>
      <c r="E1593" s="5" t="s">
        <v>348</v>
      </c>
      <c r="F1593" s="5" t="s">
        <v>14</v>
      </c>
      <c r="G1593" s="6">
        <v>22680</v>
      </c>
      <c r="H1593" s="1586" t="str">
        <f>HYPERLINK("https://adv-map.ru/place/?LINK=c48b81523f3e900b79da84a244083f0b","Ссылка")</f>
        <v>Ссылка</v>
      </c>
      <c r="I1593" s="5" t="s">
        <v>1625</v>
      </c>
    </row>
    <row r="1594" spans="1:9" s="4" customFormat="1" ht="38.1" customHeight="1" outlineLevel="1" x14ac:dyDescent="0.2">
      <c r="A1594" s="5" t="s">
        <v>340</v>
      </c>
      <c r="B1594" s="5" t="s">
        <v>354</v>
      </c>
      <c r="C1594" s="5" t="s">
        <v>1624</v>
      </c>
      <c r="D1594" s="5" t="s">
        <v>347</v>
      </c>
      <c r="E1594" s="5" t="s">
        <v>348</v>
      </c>
      <c r="F1594" s="5" t="s">
        <v>16</v>
      </c>
      <c r="G1594" s="6">
        <v>17640</v>
      </c>
      <c r="H1594" s="1587" t="str">
        <f>HYPERLINK("https://adv-map.ru/place/?LINK=372e2ff352deb54618d1b79eb309c4a1","Ссылка")</f>
        <v>Ссылка</v>
      </c>
      <c r="I1594" s="5" t="s">
        <v>1626</v>
      </c>
    </row>
    <row r="1595" spans="1:9" s="4" customFormat="1" ht="38.1" customHeight="1" outlineLevel="1" x14ac:dyDescent="0.2">
      <c r="A1595" s="5" t="s">
        <v>340</v>
      </c>
      <c r="B1595" s="5" t="s">
        <v>354</v>
      </c>
      <c r="C1595" s="5" t="s">
        <v>1627</v>
      </c>
      <c r="D1595" s="5" t="s">
        <v>347</v>
      </c>
      <c r="E1595" s="5" t="s">
        <v>348</v>
      </c>
      <c r="F1595" s="5" t="s">
        <v>14</v>
      </c>
      <c r="G1595" s="6">
        <v>25200</v>
      </c>
      <c r="H1595" s="1588" t="str">
        <f>HYPERLINK("https://adv-map.ru/place/?LINK=8e1006d1658d355f99fcee18688635cb","Ссылка")</f>
        <v>Ссылка</v>
      </c>
      <c r="I1595" s="5" t="s">
        <v>1628</v>
      </c>
    </row>
    <row r="1596" spans="1:9" s="4" customFormat="1" ht="38.1" customHeight="1" outlineLevel="1" x14ac:dyDescent="0.2">
      <c r="A1596" s="5" t="s">
        <v>340</v>
      </c>
      <c r="B1596" s="5" t="s">
        <v>354</v>
      </c>
      <c r="C1596" s="5" t="s">
        <v>1627</v>
      </c>
      <c r="D1596" s="5" t="s">
        <v>347</v>
      </c>
      <c r="E1596" s="5" t="s">
        <v>348</v>
      </c>
      <c r="F1596" s="5" t="s">
        <v>16</v>
      </c>
      <c r="G1596" s="6">
        <v>20160</v>
      </c>
      <c r="H1596" s="1589" t="str">
        <f>HYPERLINK("https://adv-map.ru/place/?LINK=6b683b6b73844a922172b3f5cf2f2d24","Ссылка")</f>
        <v>Ссылка</v>
      </c>
      <c r="I1596" s="5" t="s">
        <v>1628</v>
      </c>
    </row>
    <row r="1597" spans="1:9" s="4" customFormat="1" ht="38.1" customHeight="1" outlineLevel="1" x14ac:dyDescent="0.2">
      <c r="A1597" s="5" t="s">
        <v>340</v>
      </c>
      <c r="B1597" s="5" t="s">
        <v>354</v>
      </c>
      <c r="C1597" s="5" t="s">
        <v>1629</v>
      </c>
      <c r="D1597" s="5" t="s">
        <v>347</v>
      </c>
      <c r="E1597" s="5" t="s">
        <v>348</v>
      </c>
      <c r="F1597" s="5" t="s">
        <v>14</v>
      </c>
      <c r="G1597" s="6">
        <v>25200</v>
      </c>
      <c r="H1597" s="1590" t="str">
        <f>HYPERLINK("https://adv-map.ru/place/?LINK=2ff901c8aa7c27e4c0478415d41efe08","Ссылка")</f>
        <v>Ссылка</v>
      </c>
      <c r="I1597" s="5" t="s">
        <v>1630</v>
      </c>
    </row>
    <row r="1598" spans="1:9" s="4" customFormat="1" ht="38.1" customHeight="1" outlineLevel="1" x14ac:dyDescent="0.2">
      <c r="A1598" s="5" t="s">
        <v>340</v>
      </c>
      <c r="B1598" s="5" t="s">
        <v>354</v>
      </c>
      <c r="C1598" s="5" t="s">
        <v>1629</v>
      </c>
      <c r="D1598" s="5" t="s">
        <v>347</v>
      </c>
      <c r="E1598" s="5" t="s">
        <v>348</v>
      </c>
      <c r="F1598" s="5" t="s">
        <v>16</v>
      </c>
      <c r="G1598" s="6">
        <v>20160</v>
      </c>
      <c r="H1598" s="1591" t="str">
        <f>HYPERLINK("https://adv-map.ru/place/?LINK=d30a03b51551d3753c2b288fd8715161","Ссылка")</f>
        <v>Ссылка</v>
      </c>
      <c r="I1598" s="5" t="s">
        <v>1630</v>
      </c>
    </row>
    <row r="1599" spans="1:9" s="4" customFormat="1" ht="38.1" customHeight="1" outlineLevel="1" x14ac:dyDescent="0.2">
      <c r="A1599" s="5" t="s">
        <v>340</v>
      </c>
      <c r="B1599" s="5" t="s">
        <v>354</v>
      </c>
      <c r="C1599" s="5" t="s">
        <v>1631</v>
      </c>
      <c r="D1599" s="5" t="s">
        <v>396</v>
      </c>
      <c r="E1599" s="5" t="s">
        <v>397</v>
      </c>
      <c r="F1599" s="5" t="s">
        <v>14</v>
      </c>
      <c r="G1599" s="6">
        <v>30240</v>
      </c>
      <c r="H1599" s="1592" t="str">
        <f>HYPERLINK("https://adv-map.ru/place/?LINK=3451ad1c8494c4e8f8bfab6ea9d9bcde","Ссылка")</f>
        <v>Ссылка</v>
      </c>
      <c r="I1599" s="5" t="s">
        <v>1632</v>
      </c>
    </row>
    <row r="1600" spans="1:9" s="4" customFormat="1" ht="38.1" customHeight="1" outlineLevel="1" x14ac:dyDescent="0.2">
      <c r="A1600" s="5" t="s">
        <v>340</v>
      </c>
      <c r="B1600" s="5" t="s">
        <v>354</v>
      </c>
      <c r="C1600" s="5" t="s">
        <v>1631</v>
      </c>
      <c r="D1600" s="5" t="s">
        <v>396</v>
      </c>
      <c r="E1600" s="5" t="s">
        <v>397</v>
      </c>
      <c r="F1600" s="5" t="s">
        <v>16</v>
      </c>
      <c r="G1600" s="6">
        <v>25200</v>
      </c>
      <c r="H1600" s="1593" t="str">
        <f>HYPERLINK("https://adv-map.ru/place/?LINK=91d882fe83fc0055ee312c5c8f9870de","Ссылка")</f>
        <v>Ссылка</v>
      </c>
      <c r="I1600" s="5" t="s">
        <v>1632</v>
      </c>
    </row>
    <row r="1601" spans="1:9" s="4" customFormat="1" ht="38.1" customHeight="1" outlineLevel="1" x14ac:dyDescent="0.2">
      <c r="A1601" s="5" t="s">
        <v>340</v>
      </c>
      <c r="B1601" s="5" t="s">
        <v>354</v>
      </c>
      <c r="C1601" s="5" t="s">
        <v>1633</v>
      </c>
      <c r="D1601" s="5" t="s">
        <v>12</v>
      </c>
      <c r="E1601" s="5" t="s">
        <v>13</v>
      </c>
      <c r="F1601" s="5" t="s">
        <v>14</v>
      </c>
      <c r="G1601" s="6">
        <v>50400</v>
      </c>
      <c r="H1601" s="1594" t="str">
        <f>HYPERLINK("https://adv-map.ru/place/?LINK=4cc18541400522763c45aa95e65b6f02","Ссылка")</f>
        <v>Ссылка</v>
      </c>
      <c r="I1601" s="5" t="s">
        <v>1634</v>
      </c>
    </row>
    <row r="1602" spans="1:9" s="4" customFormat="1" ht="38.1" customHeight="1" outlineLevel="1" x14ac:dyDescent="0.2">
      <c r="A1602" s="5" t="s">
        <v>340</v>
      </c>
      <c r="B1602" s="5" t="s">
        <v>354</v>
      </c>
      <c r="C1602" s="5" t="s">
        <v>1635</v>
      </c>
      <c r="D1602" s="5" t="s">
        <v>405</v>
      </c>
      <c r="E1602" s="5" t="s">
        <v>348</v>
      </c>
      <c r="F1602" s="5" t="s">
        <v>14</v>
      </c>
      <c r="G1602" s="6">
        <v>25200</v>
      </c>
      <c r="H1602" s="1595" t="str">
        <f>HYPERLINK("https://adv-map.ru/place/?LINK=f3f637835f552712121e2505357f232a","Ссылка")</f>
        <v>Ссылка</v>
      </c>
      <c r="I1602" s="5" t="s">
        <v>1636</v>
      </c>
    </row>
    <row r="1603" spans="1:9" s="4" customFormat="1" ht="51" customHeight="1" outlineLevel="1" x14ac:dyDescent="0.2">
      <c r="A1603" s="5" t="s">
        <v>340</v>
      </c>
      <c r="B1603" s="5" t="s">
        <v>354</v>
      </c>
      <c r="C1603" s="5" t="s">
        <v>1635</v>
      </c>
      <c r="D1603" s="5" t="s">
        <v>405</v>
      </c>
      <c r="E1603" s="5" t="s">
        <v>348</v>
      </c>
      <c r="F1603" s="5" t="s">
        <v>16</v>
      </c>
      <c r="G1603" s="6">
        <v>20160</v>
      </c>
      <c r="H1603" s="1596" t="str">
        <f>HYPERLINK("https://adv-map.ru/place/?LINK=8f68d27005a22eb802b4014b0e436854","Ссылка")</f>
        <v>Ссылка</v>
      </c>
      <c r="I1603" s="5" t="s">
        <v>1636</v>
      </c>
    </row>
    <row r="1604" spans="1:9" s="4" customFormat="1" ht="38.1" customHeight="1" outlineLevel="1" x14ac:dyDescent="0.2">
      <c r="A1604" s="5" t="s">
        <v>340</v>
      </c>
      <c r="B1604" s="5" t="s">
        <v>354</v>
      </c>
      <c r="C1604" s="5" t="s">
        <v>1637</v>
      </c>
      <c r="D1604" s="5" t="s">
        <v>347</v>
      </c>
      <c r="E1604" s="5" t="s">
        <v>348</v>
      </c>
      <c r="F1604" s="5" t="s">
        <v>14</v>
      </c>
      <c r="G1604" s="6">
        <v>25200</v>
      </c>
      <c r="H1604" s="1597" t="str">
        <f>HYPERLINK("https://adv-map.ru/place/?LINK=fc05ff01455f9ace3707bea7c48fdd91","Ссылка")</f>
        <v>Ссылка</v>
      </c>
      <c r="I1604" s="5" t="s">
        <v>1638</v>
      </c>
    </row>
    <row r="1605" spans="1:9" s="4" customFormat="1" ht="38.1" customHeight="1" outlineLevel="1" x14ac:dyDescent="0.2">
      <c r="A1605" s="5" t="s">
        <v>340</v>
      </c>
      <c r="B1605" s="5" t="s">
        <v>354</v>
      </c>
      <c r="C1605" s="5" t="s">
        <v>1637</v>
      </c>
      <c r="D1605" s="5" t="s">
        <v>347</v>
      </c>
      <c r="E1605" s="5" t="s">
        <v>348</v>
      </c>
      <c r="F1605" s="5" t="s">
        <v>16</v>
      </c>
      <c r="G1605" s="6">
        <v>20160</v>
      </c>
      <c r="H1605" s="1598" t="str">
        <f>HYPERLINK("https://adv-map.ru/place/?LINK=8472fa539b98943c168acbd7847b01d1","Ссылка")</f>
        <v>Ссылка</v>
      </c>
      <c r="I1605" s="5" t="s">
        <v>1638</v>
      </c>
    </row>
    <row r="1606" spans="1:9" s="4" customFormat="1" ht="38.1" customHeight="1" outlineLevel="1" x14ac:dyDescent="0.2">
      <c r="A1606" s="5" t="s">
        <v>340</v>
      </c>
      <c r="B1606" s="5" t="s">
        <v>354</v>
      </c>
      <c r="C1606" s="5" t="s">
        <v>1639</v>
      </c>
      <c r="D1606" s="5" t="s">
        <v>347</v>
      </c>
      <c r="E1606" s="5" t="s">
        <v>348</v>
      </c>
      <c r="F1606" s="5" t="s">
        <v>14</v>
      </c>
      <c r="G1606" s="6">
        <v>25200</v>
      </c>
      <c r="H1606" s="1599" t="str">
        <f>HYPERLINK("https://adv-map.ru/place/?LINK=23a7a0def143988661389988cad853df","Ссылка")</f>
        <v>Ссылка</v>
      </c>
      <c r="I1606" s="5" t="s">
        <v>1640</v>
      </c>
    </row>
    <row r="1607" spans="1:9" s="4" customFormat="1" ht="38.1" customHeight="1" outlineLevel="1" x14ac:dyDescent="0.2">
      <c r="A1607" s="5" t="s">
        <v>340</v>
      </c>
      <c r="B1607" s="5" t="s">
        <v>354</v>
      </c>
      <c r="C1607" s="5" t="s">
        <v>1639</v>
      </c>
      <c r="D1607" s="5" t="s">
        <v>347</v>
      </c>
      <c r="E1607" s="5" t="s">
        <v>348</v>
      </c>
      <c r="F1607" s="5" t="s">
        <v>16</v>
      </c>
      <c r="G1607" s="6">
        <v>20160</v>
      </c>
      <c r="H1607" s="1600" t="str">
        <f>HYPERLINK("https://adv-map.ru/place/?LINK=02058fe521a2913317dc99ac873d300f","Ссылка")</f>
        <v>Ссылка</v>
      </c>
      <c r="I1607" s="5" t="s">
        <v>1640</v>
      </c>
    </row>
    <row r="1608" spans="1:9" s="4" customFormat="1" ht="38.1" customHeight="1" outlineLevel="1" x14ac:dyDescent="0.2">
      <c r="A1608" s="5" t="s">
        <v>340</v>
      </c>
      <c r="B1608" s="5" t="s">
        <v>354</v>
      </c>
      <c r="C1608" s="5" t="s">
        <v>1641</v>
      </c>
      <c r="D1608" s="5" t="s">
        <v>347</v>
      </c>
      <c r="E1608" s="5" t="s">
        <v>348</v>
      </c>
      <c r="F1608" s="5" t="s">
        <v>14</v>
      </c>
      <c r="G1608" s="6">
        <v>25200</v>
      </c>
      <c r="H1608" s="1601" t="str">
        <f>HYPERLINK("https://adv-map.ru/place/?LINK=452a4d671d6009e3b523b95b5e3ca5f3","Ссылка")</f>
        <v>Ссылка</v>
      </c>
      <c r="I1608" s="5" t="s">
        <v>1642</v>
      </c>
    </row>
    <row r="1609" spans="1:9" s="4" customFormat="1" ht="38.1" customHeight="1" outlineLevel="1" x14ac:dyDescent="0.2">
      <c r="A1609" s="5" t="s">
        <v>340</v>
      </c>
      <c r="B1609" s="5" t="s">
        <v>354</v>
      </c>
      <c r="C1609" s="5" t="s">
        <v>1641</v>
      </c>
      <c r="D1609" s="5" t="s">
        <v>347</v>
      </c>
      <c r="E1609" s="5" t="s">
        <v>348</v>
      </c>
      <c r="F1609" s="5" t="s">
        <v>16</v>
      </c>
      <c r="G1609" s="6">
        <v>20160</v>
      </c>
      <c r="H1609" s="1602" t="str">
        <f>HYPERLINK("https://adv-map.ru/place/?LINK=9f8a5bf38fba2e847d4086744c5a6a69","Ссылка")</f>
        <v>Ссылка</v>
      </c>
      <c r="I1609" s="5" t="s">
        <v>1642</v>
      </c>
    </row>
    <row r="1610" spans="1:9" s="4" customFormat="1" ht="38.1" customHeight="1" outlineLevel="1" x14ac:dyDescent="0.2">
      <c r="A1610" s="5" t="s">
        <v>340</v>
      </c>
      <c r="B1610" s="5" t="s">
        <v>354</v>
      </c>
      <c r="C1610" s="5" t="s">
        <v>1643</v>
      </c>
      <c r="D1610" s="5" t="s">
        <v>12</v>
      </c>
      <c r="E1610" s="5" t="s">
        <v>13</v>
      </c>
      <c r="F1610" s="5" t="s">
        <v>16</v>
      </c>
      <c r="G1610" s="6">
        <v>37800</v>
      </c>
      <c r="H1610" s="1603" t="str">
        <f>HYPERLINK("https://adv-map.ru/place/?LINK=c25071af123123c801e9e15c8e8cc8c6","Ссылка")</f>
        <v>Ссылка</v>
      </c>
      <c r="I1610" s="5" t="s">
        <v>1634</v>
      </c>
    </row>
    <row r="1611" spans="1:9" s="4" customFormat="1" ht="38.1" customHeight="1" outlineLevel="1" x14ac:dyDescent="0.2">
      <c r="A1611" s="5" t="s">
        <v>340</v>
      </c>
      <c r="B1611" s="5" t="s">
        <v>354</v>
      </c>
      <c r="C1611" s="5" t="s">
        <v>1644</v>
      </c>
      <c r="D1611" s="5" t="s">
        <v>49</v>
      </c>
      <c r="E1611" s="5" t="s">
        <v>13</v>
      </c>
      <c r="F1611" s="5" t="s">
        <v>28</v>
      </c>
      <c r="G1611" s="6">
        <v>48300</v>
      </c>
      <c r="H1611" s="1604" t="str">
        <f>HYPERLINK("https://adv-map.ru/place/?LINK=f1ecda71facc85de1ca0c7035dadefe4","Ссылка")</f>
        <v>Ссылка</v>
      </c>
      <c r="I1611" s="5" t="s">
        <v>1645</v>
      </c>
    </row>
    <row r="1612" spans="1:9" s="4" customFormat="1" ht="38.1" customHeight="1" outlineLevel="1" x14ac:dyDescent="0.2">
      <c r="A1612" s="5" t="s">
        <v>340</v>
      </c>
      <c r="B1612" s="5" t="s">
        <v>354</v>
      </c>
      <c r="C1612" s="5" t="s">
        <v>1644</v>
      </c>
      <c r="D1612" s="5" t="s">
        <v>49</v>
      </c>
      <c r="E1612" s="5" t="s">
        <v>13</v>
      </c>
      <c r="F1612" s="5" t="s">
        <v>30</v>
      </c>
      <c r="G1612" s="6">
        <v>48300</v>
      </c>
      <c r="H1612" s="1605" t="str">
        <f>HYPERLINK("https://adv-map.ru/place/?LINK=368df3b51d6e1ff6ce9c50c0a911ccf9","Ссылка")</f>
        <v>Ссылка</v>
      </c>
      <c r="I1612" s="5" t="s">
        <v>1645</v>
      </c>
    </row>
    <row r="1613" spans="1:9" s="4" customFormat="1" ht="38.1" customHeight="1" outlineLevel="1" x14ac:dyDescent="0.2">
      <c r="A1613" s="5" t="s">
        <v>340</v>
      </c>
      <c r="B1613" s="5" t="s">
        <v>354</v>
      </c>
      <c r="C1613" s="5" t="s">
        <v>1646</v>
      </c>
      <c r="D1613" s="5" t="s">
        <v>49</v>
      </c>
      <c r="E1613" s="5" t="s">
        <v>13</v>
      </c>
      <c r="F1613" s="5" t="s">
        <v>33</v>
      </c>
      <c r="G1613" s="6">
        <v>31500</v>
      </c>
      <c r="H1613" s="1606" t="str">
        <f>HYPERLINK("https://adv-map.ru/place/?LINK=053b4ef39f3e926b261e1a2d41d2aae3","Ссылка")</f>
        <v>Ссылка</v>
      </c>
      <c r="I1613" s="5" t="s">
        <v>1647</v>
      </c>
    </row>
    <row r="1614" spans="1:9" s="4" customFormat="1" ht="38.1" customHeight="1" outlineLevel="1" x14ac:dyDescent="0.2">
      <c r="A1614" s="5" t="s">
        <v>340</v>
      </c>
      <c r="B1614" s="5" t="s">
        <v>354</v>
      </c>
      <c r="C1614" s="5" t="s">
        <v>1648</v>
      </c>
      <c r="D1614" s="5" t="s">
        <v>12</v>
      </c>
      <c r="E1614" s="5" t="s">
        <v>13</v>
      </c>
      <c r="F1614" s="5" t="s">
        <v>16</v>
      </c>
      <c r="G1614" s="6">
        <v>31500</v>
      </c>
      <c r="H1614" s="1607" t="str">
        <f>HYPERLINK("https://adv-map.ru/place/?LINK=7da4f003c93227cd3183afc062746d1b","Ссылка")</f>
        <v>Ссылка</v>
      </c>
      <c r="I1614" s="5" t="s">
        <v>1649</v>
      </c>
    </row>
    <row r="1615" spans="1:9" s="4" customFormat="1" ht="38.1" customHeight="1" outlineLevel="1" x14ac:dyDescent="0.2">
      <c r="A1615" s="5" t="s">
        <v>340</v>
      </c>
      <c r="B1615" s="5" t="s">
        <v>354</v>
      </c>
      <c r="C1615" s="5" t="s">
        <v>1650</v>
      </c>
      <c r="D1615" s="5" t="s">
        <v>49</v>
      </c>
      <c r="E1615" s="5" t="s">
        <v>13</v>
      </c>
      <c r="F1615" s="5" t="s">
        <v>28</v>
      </c>
      <c r="G1615" s="6">
        <v>48300</v>
      </c>
      <c r="H1615" s="1608" t="str">
        <f>HYPERLINK("https://adv-map.ru/place/?LINK=6b7cf61dded9dfa7829aabd4c00bba90","Ссылка")</f>
        <v>Ссылка</v>
      </c>
      <c r="I1615" s="5" t="s">
        <v>1649</v>
      </c>
    </row>
    <row r="1616" spans="1:9" s="4" customFormat="1" ht="38.1" customHeight="1" outlineLevel="1" x14ac:dyDescent="0.2">
      <c r="A1616" s="5" t="s">
        <v>340</v>
      </c>
      <c r="B1616" s="5" t="s">
        <v>354</v>
      </c>
      <c r="C1616" s="5" t="s">
        <v>1650</v>
      </c>
      <c r="D1616" s="5" t="s">
        <v>49</v>
      </c>
      <c r="E1616" s="5" t="s">
        <v>13</v>
      </c>
      <c r="F1616" s="5" t="s">
        <v>30</v>
      </c>
      <c r="G1616" s="6">
        <v>48300</v>
      </c>
      <c r="H1616" s="1609" t="str">
        <f>HYPERLINK("https://adv-map.ru/place/?LINK=71147660d2280c2836d09e1dfc02fc57","Ссылка")</f>
        <v>Ссылка</v>
      </c>
      <c r="I1616" s="5" t="s">
        <v>1649</v>
      </c>
    </row>
    <row r="1617" spans="1:9" s="4" customFormat="1" ht="38.1" customHeight="1" outlineLevel="1" x14ac:dyDescent="0.2">
      <c r="A1617" s="5" t="s">
        <v>340</v>
      </c>
      <c r="B1617" s="5" t="s">
        <v>354</v>
      </c>
      <c r="C1617" s="5" t="s">
        <v>1650</v>
      </c>
      <c r="D1617" s="5" t="s">
        <v>49</v>
      </c>
      <c r="E1617" s="5" t="s">
        <v>13</v>
      </c>
      <c r="F1617" s="5" t="s">
        <v>31</v>
      </c>
      <c r="G1617" s="6">
        <v>48300</v>
      </c>
      <c r="H1617" s="1610" t="str">
        <f>HYPERLINK("https://adv-map.ru/place/?LINK=423c8a98307dbeea7684375f66333152","Ссылка")</f>
        <v>Ссылка</v>
      </c>
      <c r="I1617" s="5" t="s">
        <v>1649</v>
      </c>
    </row>
    <row r="1618" spans="1:9" s="4" customFormat="1" ht="38.1" customHeight="1" outlineLevel="1" x14ac:dyDescent="0.2">
      <c r="A1618" s="5" t="s">
        <v>340</v>
      </c>
      <c r="B1618" s="5" t="s">
        <v>354</v>
      </c>
      <c r="C1618" s="5" t="s">
        <v>1651</v>
      </c>
      <c r="D1618" s="5" t="s">
        <v>49</v>
      </c>
      <c r="E1618" s="5" t="s">
        <v>13</v>
      </c>
      <c r="F1618" s="5" t="s">
        <v>28</v>
      </c>
      <c r="G1618" s="6">
        <v>48300</v>
      </c>
      <c r="H1618" s="1611" t="str">
        <f>HYPERLINK("https://adv-map.ru/place/?LINK=37452aa524d5b17fce0a6d44464e0093","Ссылка")</f>
        <v>Ссылка</v>
      </c>
      <c r="I1618" s="5" t="s">
        <v>1652</v>
      </c>
    </row>
    <row r="1619" spans="1:9" s="4" customFormat="1" ht="38.1" customHeight="1" outlineLevel="1" x14ac:dyDescent="0.2">
      <c r="A1619" s="5" t="s">
        <v>340</v>
      </c>
      <c r="B1619" s="5" t="s">
        <v>354</v>
      </c>
      <c r="C1619" s="5" t="s">
        <v>1653</v>
      </c>
      <c r="D1619" s="5" t="s">
        <v>49</v>
      </c>
      <c r="E1619" s="5" t="s">
        <v>13</v>
      </c>
      <c r="F1619" s="5" t="s">
        <v>30</v>
      </c>
      <c r="G1619" s="6">
        <v>48300</v>
      </c>
      <c r="H1619" s="1612" t="str">
        <f>HYPERLINK("https://adv-map.ru/place/?LINK=f89df9fc2382b82847baa95838344a15","Ссылка")</f>
        <v>Ссылка</v>
      </c>
      <c r="I1619" s="5" t="s">
        <v>1652</v>
      </c>
    </row>
    <row r="1620" spans="1:9" s="4" customFormat="1" ht="38.1" customHeight="1" outlineLevel="1" x14ac:dyDescent="0.2">
      <c r="A1620" s="5" t="s">
        <v>340</v>
      </c>
      <c r="B1620" s="5" t="s">
        <v>354</v>
      </c>
      <c r="C1620" s="5" t="s">
        <v>1653</v>
      </c>
      <c r="D1620" s="5" t="s">
        <v>49</v>
      </c>
      <c r="E1620" s="5" t="s">
        <v>13</v>
      </c>
      <c r="F1620" s="5" t="s">
        <v>31</v>
      </c>
      <c r="G1620" s="6">
        <v>48300</v>
      </c>
      <c r="H1620" s="1613" t="str">
        <f>HYPERLINK("https://adv-map.ru/place/?LINK=c5ff234b5b4273a3c02b96e1b1a2fcea","Ссылка")</f>
        <v>Ссылка</v>
      </c>
      <c r="I1620" s="5" t="s">
        <v>1652</v>
      </c>
    </row>
    <row r="1621" spans="1:9" s="4" customFormat="1" ht="38.1" customHeight="1" outlineLevel="1" x14ac:dyDescent="0.2">
      <c r="A1621" s="5" t="s">
        <v>340</v>
      </c>
      <c r="B1621" s="5" t="s">
        <v>354</v>
      </c>
      <c r="C1621" s="5" t="s">
        <v>1654</v>
      </c>
      <c r="D1621" s="5" t="s">
        <v>12</v>
      </c>
      <c r="E1621" s="5" t="s">
        <v>13</v>
      </c>
      <c r="F1621" s="5" t="s">
        <v>16</v>
      </c>
      <c r="G1621" s="6">
        <v>31500</v>
      </c>
      <c r="H1621" s="1614" t="str">
        <f>HYPERLINK("https://adv-map.ru/place/?LINK=3a50ac9068fe1e56ab605e14b93168bd","Ссылка")</f>
        <v>Ссылка</v>
      </c>
      <c r="I1621" s="5" t="s">
        <v>1652</v>
      </c>
    </row>
    <row r="1622" spans="1:9" s="4" customFormat="1" ht="51" customHeight="1" outlineLevel="1" x14ac:dyDescent="0.2">
      <c r="A1622" s="5" t="s">
        <v>340</v>
      </c>
      <c r="B1622" s="5" t="s">
        <v>354</v>
      </c>
      <c r="C1622" s="5" t="s">
        <v>1655</v>
      </c>
      <c r="D1622" s="5" t="s">
        <v>49</v>
      </c>
      <c r="E1622" s="5" t="s">
        <v>13</v>
      </c>
      <c r="F1622" s="5" t="s">
        <v>28</v>
      </c>
      <c r="G1622" s="6">
        <v>48300</v>
      </c>
      <c r="H1622" s="1615" t="str">
        <f>HYPERLINK("https://adv-map.ru/place/?LINK=91588c48ec3940781757e7a0b236659e","Ссылка")</f>
        <v>Ссылка</v>
      </c>
      <c r="I1622" s="5" t="s">
        <v>1656</v>
      </c>
    </row>
    <row r="1623" spans="1:9" s="4" customFormat="1" ht="38.1" customHeight="1" outlineLevel="1" x14ac:dyDescent="0.2">
      <c r="A1623" s="5" t="s">
        <v>340</v>
      </c>
      <c r="B1623" s="5" t="s">
        <v>354</v>
      </c>
      <c r="C1623" s="5" t="s">
        <v>1655</v>
      </c>
      <c r="D1623" s="5" t="s">
        <v>49</v>
      </c>
      <c r="E1623" s="5" t="s">
        <v>13</v>
      </c>
      <c r="F1623" s="5" t="s">
        <v>30</v>
      </c>
      <c r="G1623" s="6">
        <v>48300</v>
      </c>
      <c r="H1623" s="1616" t="str">
        <f>HYPERLINK("https://adv-map.ru/place/?LINK=ca32d59513253490f2a700de55f2a351","Ссылка")</f>
        <v>Ссылка</v>
      </c>
      <c r="I1623" s="5" t="s">
        <v>1656</v>
      </c>
    </row>
    <row r="1624" spans="1:9" s="4" customFormat="1" ht="38.1" customHeight="1" outlineLevel="1" x14ac:dyDescent="0.2">
      <c r="A1624" s="5" t="s">
        <v>340</v>
      </c>
      <c r="B1624" s="5" t="s">
        <v>354</v>
      </c>
      <c r="C1624" s="5" t="s">
        <v>1655</v>
      </c>
      <c r="D1624" s="5" t="s">
        <v>49</v>
      </c>
      <c r="E1624" s="5" t="s">
        <v>13</v>
      </c>
      <c r="F1624" s="5" t="s">
        <v>31</v>
      </c>
      <c r="G1624" s="6">
        <v>48300</v>
      </c>
      <c r="H1624" s="1617" t="str">
        <f>HYPERLINK("https://adv-map.ru/place/?LINK=a2e386ea7dd42d392950e39ec1041002","Ссылка")</f>
        <v>Ссылка</v>
      </c>
      <c r="I1624" s="5" t="s">
        <v>1656</v>
      </c>
    </row>
    <row r="1625" spans="1:9" s="4" customFormat="1" ht="38.1" customHeight="1" outlineLevel="1" x14ac:dyDescent="0.2">
      <c r="A1625" s="5" t="s">
        <v>340</v>
      </c>
      <c r="B1625" s="5" t="s">
        <v>354</v>
      </c>
      <c r="C1625" s="5" t="s">
        <v>1657</v>
      </c>
      <c r="D1625" s="5" t="s">
        <v>12</v>
      </c>
      <c r="E1625" s="5" t="s">
        <v>13</v>
      </c>
      <c r="F1625" s="5" t="s">
        <v>16</v>
      </c>
      <c r="G1625" s="6">
        <v>31500</v>
      </c>
      <c r="H1625" s="1618" t="str">
        <f>HYPERLINK("https://adv-map.ru/place/?LINK=2b8987ac62bd9c1a81e0656fe07c5062","Ссылка")</f>
        <v>Ссылка</v>
      </c>
      <c r="I1625" s="5" t="s">
        <v>1656</v>
      </c>
    </row>
    <row r="1626" spans="1:9" s="4" customFormat="1" ht="38.1" customHeight="1" outlineLevel="1" x14ac:dyDescent="0.2">
      <c r="A1626" s="5" t="s">
        <v>340</v>
      </c>
      <c r="B1626" s="5" t="s">
        <v>354</v>
      </c>
      <c r="C1626" s="5" t="s">
        <v>1658</v>
      </c>
      <c r="D1626" s="5" t="s">
        <v>347</v>
      </c>
      <c r="E1626" s="5" t="s">
        <v>348</v>
      </c>
      <c r="F1626" s="5" t="s">
        <v>14</v>
      </c>
      <c r="G1626" s="6">
        <v>25200</v>
      </c>
      <c r="H1626" s="1619" t="str">
        <f>HYPERLINK("https://adv-map.ru/place/?LINK=8a600a21ebdae813c38884ce17aab183","Ссылка")</f>
        <v>Ссылка</v>
      </c>
      <c r="I1626" s="5" t="s">
        <v>1659</v>
      </c>
    </row>
    <row r="1627" spans="1:9" s="4" customFormat="1" ht="38.1" customHeight="1" outlineLevel="1" x14ac:dyDescent="0.2">
      <c r="A1627" s="5" t="s">
        <v>340</v>
      </c>
      <c r="B1627" s="5" t="s">
        <v>354</v>
      </c>
      <c r="C1627" s="5" t="s">
        <v>1658</v>
      </c>
      <c r="D1627" s="5" t="s">
        <v>347</v>
      </c>
      <c r="E1627" s="5" t="s">
        <v>348</v>
      </c>
      <c r="F1627" s="5" t="s">
        <v>16</v>
      </c>
      <c r="G1627" s="6">
        <v>20160</v>
      </c>
      <c r="H1627" s="1620" t="str">
        <f>HYPERLINK("https://adv-map.ru/place/?LINK=f11c991a0f49535fb21daf1ab6b702cb","Ссылка")</f>
        <v>Ссылка</v>
      </c>
      <c r="I1627" s="5" t="s">
        <v>1660</v>
      </c>
    </row>
    <row r="1628" spans="1:9" s="4" customFormat="1" ht="38.1" customHeight="1" outlineLevel="1" x14ac:dyDescent="0.2">
      <c r="A1628" s="5" t="s">
        <v>340</v>
      </c>
      <c r="B1628" s="5" t="s">
        <v>354</v>
      </c>
      <c r="C1628" s="5" t="s">
        <v>1661</v>
      </c>
      <c r="D1628" s="5" t="s">
        <v>347</v>
      </c>
      <c r="E1628" s="5" t="s">
        <v>348</v>
      </c>
      <c r="F1628" s="5" t="s">
        <v>14</v>
      </c>
      <c r="G1628" s="6">
        <v>25200</v>
      </c>
      <c r="H1628" s="1621" t="str">
        <f>HYPERLINK("https://adv-map.ru/place/?LINK=d1b4ae407262629c785778f2b1a67bfe","Ссылка")</f>
        <v>Ссылка</v>
      </c>
      <c r="I1628" s="5" t="s">
        <v>1662</v>
      </c>
    </row>
    <row r="1629" spans="1:9" s="4" customFormat="1" ht="38.1" customHeight="1" outlineLevel="1" x14ac:dyDescent="0.2">
      <c r="A1629" s="5" t="s">
        <v>340</v>
      </c>
      <c r="B1629" s="5" t="s">
        <v>354</v>
      </c>
      <c r="C1629" s="5" t="s">
        <v>1661</v>
      </c>
      <c r="D1629" s="5" t="s">
        <v>347</v>
      </c>
      <c r="E1629" s="5" t="s">
        <v>348</v>
      </c>
      <c r="F1629" s="5" t="s">
        <v>16</v>
      </c>
      <c r="G1629" s="6">
        <v>20160</v>
      </c>
      <c r="H1629" s="1622" t="str">
        <f>HYPERLINK("https://adv-map.ru/place/?LINK=74314c32da143b1db620c8c37526d143","Ссылка")</f>
        <v>Ссылка</v>
      </c>
      <c r="I1629" s="5" t="s">
        <v>1662</v>
      </c>
    </row>
    <row r="1630" spans="1:9" s="4" customFormat="1" ht="38.1" customHeight="1" outlineLevel="1" x14ac:dyDescent="0.2">
      <c r="A1630" s="5" t="s">
        <v>340</v>
      </c>
      <c r="B1630" s="5" t="s">
        <v>354</v>
      </c>
      <c r="C1630" s="5" t="s">
        <v>1663</v>
      </c>
      <c r="D1630" s="5" t="s">
        <v>49</v>
      </c>
      <c r="E1630" s="5" t="s">
        <v>13</v>
      </c>
      <c r="F1630" s="5" t="s">
        <v>28</v>
      </c>
      <c r="G1630" s="6">
        <v>52500</v>
      </c>
      <c r="H1630" s="1623" t="str">
        <f>HYPERLINK("https://adv-map.ru/place/?LINK=8ebc9b92f6b53d05505c69ab940e3073","Ссылка")</f>
        <v>Ссылка</v>
      </c>
      <c r="I1630" s="5" t="s">
        <v>1664</v>
      </c>
    </row>
    <row r="1631" spans="1:9" s="4" customFormat="1" ht="38.1" customHeight="1" outlineLevel="1" x14ac:dyDescent="0.2">
      <c r="A1631" s="5" t="s">
        <v>340</v>
      </c>
      <c r="B1631" s="5" t="s">
        <v>354</v>
      </c>
      <c r="C1631" s="5" t="s">
        <v>1663</v>
      </c>
      <c r="D1631" s="5" t="s">
        <v>49</v>
      </c>
      <c r="E1631" s="5" t="s">
        <v>13</v>
      </c>
      <c r="F1631" s="5" t="s">
        <v>30</v>
      </c>
      <c r="G1631" s="6">
        <v>52500</v>
      </c>
      <c r="H1631" s="1624" t="str">
        <f>HYPERLINK("https://adv-map.ru/place/?LINK=d7574d485352f3fd8eeba6a9d914a2fe","Ссылка")</f>
        <v>Ссылка</v>
      </c>
      <c r="I1631" s="5" t="s">
        <v>1664</v>
      </c>
    </row>
    <row r="1632" spans="1:9" s="4" customFormat="1" ht="38.1" customHeight="1" outlineLevel="1" x14ac:dyDescent="0.2">
      <c r="A1632" s="5" t="s">
        <v>340</v>
      </c>
      <c r="B1632" s="5" t="s">
        <v>354</v>
      </c>
      <c r="C1632" s="5" t="s">
        <v>1663</v>
      </c>
      <c r="D1632" s="5" t="s">
        <v>49</v>
      </c>
      <c r="E1632" s="5" t="s">
        <v>13</v>
      </c>
      <c r="F1632" s="5" t="s">
        <v>31</v>
      </c>
      <c r="G1632" s="6">
        <v>52500</v>
      </c>
      <c r="H1632" s="1625" t="str">
        <f>HYPERLINK("https://adv-map.ru/place/?LINK=1694ba18257e3c010dc2bc236503e5dd","Ссылка")</f>
        <v>Ссылка</v>
      </c>
      <c r="I1632" s="5" t="s">
        <v>1664</v>
      </c>
    </row>
    <row r="1633" spans="1:9" s="4" customFormat="1" ht="38.1" customHeight="1" outlineLevel="1" x14ac:dyDescent="0.2">
      <c r="A1633" s="5" t="s">
        <v>340</v>
      </c>
      <c r="B1633" s="5" t="s">
        <v>354</v>
      </c>
      <c r="C1633" s="5" t="s">
        <v>1663</v>
      </c>
      <c r="D1633" s="5" t="s">
        <v>49</v>
      </c>
      <c r="E1633" s="5" t="s">
        <v>13</v>
      </c>
      <c r="F1633" s="5" t="s">
        <v>33</v>
      </c>
      <c r="G1633" s="6">
        <v>48300</v>
      </c>
      <c r="H1633" s="1626" t="str">
        <f>HYPERLINK("https://adv-map.ru/place/?LINK=bf2d822ed151509c3c46e83e95efc44b","Ссылка")</f>
        <v>Ссылка</v>
      </c>
      <c r="I1633" s="5" t="s">
        <v>1665</v>
      </c>
    </row>
    <row r="1634" spans="1:9" s="4" customFormat="1" ht="38.1" customHeight="1" outlineLevel="1" x14ac:dyDescent="0.2">
      <c r="A1634" s="5" t="s">
        <v>340</v>
      </c>
      <c r="B1634" s="5" t="s">
        <v>354</v>
      </c>
      <c r="C1634" s="5" t="s">
        <v>1663</v>
      </c>
      <c r="D1634" s="5" t="s">
        <v>49</v>
      </c>
      <c r="E1634" s="5" t="s">
        <v>13</v>
      </c>
      <c r="F1634" s="5" t="s">
        <v>34</v>
      </c>
      <c r="G1634" s="6">
        <v>48300</v>
      </c>
      <c r="H1634" s="1627" t="str">
        <f>HYPERLINK("https://adv-map.ru/place/?LINK=ddc7ea41ebdcd48e610c395bf9fce452","Ссылка")</f>
        <v>Ссылка</v>
      </c>
      <c r="I1634" s="5" t="s">
        <v>1665</v>
      </c>
    </row>
    <row r="1635" spans="1:9" s="4" customFormat="1" ht="38.1" customHeight="1" outlineLevel="1" x14ac:dyDescent="0.2">
      <c r="A1635" s="5" t="s">
        <v>340</v>
      </c>
      <c r="B1635" s="5" t="s">
        <v>354</v>
      </c>
      <c r="C1635" s="5" t="s">
        <v>1663</v>
      </c>
      <c r="D1635" s="5" t="s">
        <v>49</v>
      </c>
      <c r="E1635" s="5" t="s">
        <v>13</v>
      </c>
      <c r="F1635" s="5" t="s">
        <v>35</v>
      </c>
      <c r="G1635" s="6">
        <v>48300</v>
      </c>
      <c r="H1635" s="1628" t="str">
        <f>HYPERLINK("https://adv-map.ru/place/?LINK=4cdfb8348384693e20b11023f9e18f14","Ссылка")</f>
        <v>Ссылка</v>
      </c>
      <c r="I1635" s="5" t="s">
        <v>1665</v>
      </c>
    </row>
    <row r="1636" spans="1:9" s="4" customFormat="1" ht="38.1" customHeight="1" outlineLevel="1" x14ac:dyDescent="0.2">
      <c r="A1636" s="5" t="s">
        <v>340</v>
      </c>
      <c r="B1636" s="5" t="s">
        <v>354</v>
      </c>
      <c r="C1636" s="5" t="s">
        <v>1666</v>
      </c>
      <c r="D1636" s="5" t="s">
        <v>347</v>
      </c>
      <c r="E1636" s="5" t="s">
        <v>348</v>
      </c>
      <c r="F1636" s="5" t="s">
        <v>14</v>
      </c>
      <c r="G1636" s="6">
        <v>25200</v>
      </c>
      <c r="H1636" s="1629" t="str">
        <f>HYPERLINK("https://adv-map.ru/place/?LINK=a4b900e0b80bfc9cb6c73990012e73f4","Ссылка")</f>
        <v>Ссылка</v>
      </c>
      <c r="I1636" s="5" t="s">
        <v>1667</v>
      </c>
    </row>
    <row r="1637" spans="1:9" s="4" customFormat="1" ht="38.1" customHeight="1" outlineLevel="1" x14ac:dyDescent="0.2">
      <c r="A1637" s="5" t="s">
        <v>340</v>
      </c>
      <c r="B1637" s="5" t="s">
        <v>354</v>
      </c>
      <c r="C1637" s="5" t="s">
        <v>1666</v>
      </c>
      <c r="D1637" s="5" t="s">
        <v>347</v>
      </c>
      <c r="E1637" s="5" t="s">
        <v>348</v>
      </c>
      <c r="F1637" s="5" t="s">
        <v>16</v>
      </c>
      <c r="G1637" s="6">
        <v>20160</v>
      </c>
      <c r="H1637" s="1630" t="str">
        <f>HYPERLINK("https://adv-map.ru/place/?LINK=5c06226f93485c85cfcf3f6b8e374127","Ссылка")</f>
        <v>Ссылка</v>
      </c>
      <c r="I1637" s="5" t="s">
        <v>1668</v>
      </c>
    </row>
    <row r="1638" spans="1:9" s="4" customFormat="1" ht="38.1" customHeight="1" outlineLevel="1" x14ac:dyDescent="0.2">
      <c r="A1638" s="5" t="s">
        <v>340</v>
      </c>
      <c r="B1638" s="5" t="s">
        <v>354</v>
      </c>
      <c r="C1638" s="5" t="s">
        <v>1669</v>
      </c>
      <c r="D1638" s="5" t="s">
        <v>396</v>
      </c>
      <c r="E1638" s="5" t="s">
        <v>397</v>
      </c>
      <c r="F1638" s="5" t="s">
        <v>28</v>
      </c>
      <c r="G1638" s="6">
        <v>35280</v>
      </c>
      <c r="H1638" s="1631" t="str">
        <f>HYPERLINK("https://adv-map.ru/place/?LINK=ffd51a9af0d8e69389b210244ee7dfbb","Ссылка")</f>
        <v>Ссылка</v>
      </c>
      <c r="I1638" s="5" t="s">
        <v>1670</v>
      </c>
    </row>
    <row r="1639" spans="1:9" s="4" customFormat="1" ht="38.1" customHeight="1" outlineLevel="1" x14ac:dyDescent="0.2">
      <c r="A1639" s="5" t="s">
        <v>340</v>
      </c>
      <c r="B1639" s="5" t="s">
        <v>354</v>
      </c>
      <c r="C1639" s="5" t="s">
        <v>1669</v>
      </c>
      <c r="D1639" s="5" t="s">
        <v>396</v>
      </c>
      <c r="E1639" s="5" t="s">
        <v>397</v>
      </c>
      <c r="F1639" s="5" t="s">
        <v>30</v>
      </c>
      <c r="G1639" s="6">
        <v>30240</v>
      </c>
      <c r="H1639" s="1632" t="str">
        <f>HYPERLINK("https://adv-map.ru/place/?LINK=7c9094edd7fe448f5d46c964ba3bc8ed","Ссылка")</f>
        <v>Ссылка</v>
      </c>
      <c r="I1639" s="5" t="s">
        <v>1670</v>
      </c>
    </row>
    <row r="1640" spans="1:9" s="4" customFormat="1" ht="38.1" customHeight="1" outlineLevel="1" x14ac:dyDescent="0.2">
      <c r="A1640" s="5" t="s">
        <v>340</v>
      </c>
      <c r="B1640" s="5" t="s">
        <v>354</v>
      </c>
      <c r="C1640" s="5" t="s">
        <v>1669</v>
      </c>
      <c r="D1640" s="5" t="s">
        <v>396</v>
      </c>
      <c r="E1640" s="5" t="s">
        <v>397</v>
      </c>
      <c r="F1640" s="5" t="s">
        <v>31</v>
      </c>
      <c r="G1640" s="6">
        <v>25200</v>
      </c>
      <c r="H1640" s="1633" t="str">
        <f>HYPERLINK("https://adv-map.ru/place/?LINK=f5be166de2b5ba8207edad6e5eb9fc1e","Ссылка")</f>
        <v>Ссылка</v>
      </c>
      <c r="I1640" s="5" t="s">
        <v>1670</v>
      </c>
    </row>
    <row r="1641" spans="1:9" s="4" customFormat="1" ht="38.1" customHeight="1" outlineLevel="1" x14ac:dyDescent="0.2">
      <c r="A1641" s="5" t="s">
        <v>340</v>
      </c>
      <c r="B1641" s="5" t="s">
        <v>354</v>
      </c>
      <c r="C1641" s="5" t="s">
        <v>1671</v>
      </c>
      <c r="D1641" s="5" t="s">
        <v>464</v>
      </c>
      <c r="E1641" s="5" t="s">
        <v>13</v>
      </c>
      <c r="F1641" s="5" t="s">
        <v>28</v>
      </c>
      <c r="G1641" s="6">
        <v>60900</v>
      </c>
      <c r="H1641" s="1634" t="str">
        <f>HYPERLINK("https://adv-map.ru/place/?LINK=25ec3fcce4ea782187ff3834809c8b5e","Ссылка")</f>
        <v>Ссылка</v>
      </c>
      <c r="I1641" s="5" t="s">
        <v>1672</v>
      </c>
    </row>
    <row r="1642" spans="1:9" s="4" customFormat="1" ht="38.1" customHeight="1" outlineLevel="1" x14ac:dyDescent="0.2">
      <c r="A1642" s="5" t="s">
        <v>340</v>
      </c>
      <c r="B1642" s="5" t="s">
        <v>354</v>
      </c>
      <c r="C1642" s="5" t="s">
        <v>1671</v>
      </c>
      <c r="D1642" s="5" t="s">
        <v>464</v>
      </c>
      <c r="E1642" s="5" t="s">
        <v>13</v>
      </c>
      <c r="F1642" s="5" t="s">
        <v>466</v>
      </c>
      <c r="G1642" s="6">
        <v>60900</v>
      </c>
      <c r="H1642" s="1635" t="str">
        <f>HYPERLINK("https://adv-map.ru/place/?LINK=90ae5a4e6428f22b664b68619bf4dbec","Ссылка")</f>
        <v>Ссылка</v>
      </c>
      <c r="I1642" s="5" t="s">
        <v>1673</v>
      </c>
    </row>
    <row r="1643" spans="1:9" s="4" customFormat="1" ht="38.1" customHeight="1" outlineLevel="1" x14ac:dyDescent="0.2">
      <c r="A1643" s="5" t="s">
        <v>340</v>
      </c>
      <c r="B1643" s="5" t="s">
        <v>354</v>
      </c>
      <c r="C1643" s="5" t="s">
        <v>1671</v>
      </c>
      <c r="D1643" s="5" t="s">
        <v>464</v>
      </c>
      <c r="E1643" s="5" t="s">
        <v>13</v>
      </c>
      <c r="F1643" s="5" t="s">
        <v>467</v>
      </c>
      <c r="G1643" s="6">
        <v>60900</v>
      </c>
      <c r="H1643" s="1636" t="str">
        <f>HYPERLINK("https://adv-map.ru/place/?LINK=c94daf2af0239c076e483df491c0bc59","Ссылка")</f>
        <v>Ссылка</v>
      </c>
      <c r="I1643" s="5" t="s">
        <v>1674</v>
      </c>
    </row>
    <row r="1644" spans="1:9" s="4" customFormat="1" ht="38.1" customHeight="1" outlineLevel="1" x14ac:dyDescent="0.2">
      <c r="A1644" s="5" t="s">
        <v>340</v>
      </c>
      <c r="B1644" s="5" t="s">
        <v>354</v>
      </c>
      <c r="C1644" s="5" t="s">
        <v>1671</v>
      </c>
      <c r="D1644" s="5" t="s">
        <v>464</v>
      </c>
      <c r="E1644" s="5" t="s">
        <v>13</v>
      </c>
      <c r="F1644" s="5" t="s">
        <v>468</v>
      </c>
      <c r="G1644" s="6">
        <v>60900</v>
      </c>
      <c r="H1644" s="1637" t="str">
        <f>HYPERLINK("https://adv-map.ru/place/?LINK=c043b6bb3693c9419a247c6b83c7fe22","Ссылка")</f>
        <v>Ссылка</v>
      </c>
      <c r="I1644" s="5" t="s">
        <v>1675</v>
      </c>
    </row>
    <row r="1645" spans="1:9" s="4" customFormat="1" ht="38.1" customHeight="1" outlineLevel="1" x14ac:dyDescent="0.2">
      <c r="A1645" s="5" t="s">
        <v>340</v>
      </c>
      <c r="B1645" s="5" t="s">
        <v>354</v>
      </c>
      <c r="C1645" s="5" t="s">
        <v>1671</v>
      </c>
      <c r="D1645" s="5" t="s">
        <v>464</v>
      </c>
      <c r="E1645" s="5" t="s">
        <v>13</v>
      </c>
      <c r="F1645" s="5" t="s">
        <v>30</v>
      </c>
      <c r="G1645" s="6">
        <v>60900</v>
      </c>
      <c r="H1645" s="1638" t="str">
        <f>HYPERLINK("https://adv-map.ru/place/?LINK=7ce6942e183a447b1fce95fbad4e694c","Ссылка")</f>
        <v>Ссылка</v>
      </c>
      <c r="I1645" s="5" t="s">
        <v>1676</v>
      </c>
    </row>
    <row r="1646" spans="1:9" s="4" customFormat="1" ht="38.1" customHeight="1" outlineLevel="1" x14ac:dyDescent="0.2">
      <c r="A1646" s="5" t="s">
        <v>340</v>
      </c>
      <c r="B1646" s="5" t="s">
        <v>354</v>
      </c>
      <c r="C1646" s="5" t="s">
        <v>1671</v>
      </c>
      <c r="D1646" s="5" t="s">
        <v>464</v>
      </c>
      <c r="E1646" s="5" t="s">
        <v>13</v>
      </c>
      <c r="F1646" s="5" t="s">
        <v>31</v>
      </c>
      <c r="G1646" s="6">
        <v>60900</v>
      </c>
      <c r="H1646" s="1639" t="str">
        <f>HYPERLINK("https://adv-map.ru/place/?LINK=200068c587a61bc7695a4eceb0079567","Ссылка")</f>
        <v>Ссылка</v>
      </c>
      <c r="I1646" s="5" t="s">
        <v>1677</v>
      </c>
    </row>
    <row r="1647" spans="1:9" s="4" customFormat="1" ht="38.1" customHeight="1" outlineLevel="1" x14ac:dyDescent="0.2">
      <c r="A1647" s="5" t="s">
        <v>340</v>
      </c>
      <c r="B1647" s="5" t="s">
        <v>354</v>
      </c>
      <c r="C1647" s="5" t="s">
        <v>1671</v>
      </c>
      <c r="D1647" s="5" t="s">
        <v>464</v>
      </c>
      <c r="E1647" s="5" t="s">
        <v>13</v>
      </c>
      <c r="F1647" s="5" t="s">
        <v>32</v>
      </c>
      <c r="G1647" s="6">
        <v>60900</v>
      </c>
      <c r="H1647" s="1640" t="str">
        <f>HYPERLINK("https://adv-map.ru/place/?LINK=4647fb3d0e9c3095ecaa0ed5064c4b23","Ссылка")</f>
        <v>Ссылка</v>
      </c>
      <c r="I1647" s="5" t="s">
        <v>1678</v>
      </c>
    </row>
    <row r="1648" spans="1:9" s="4" customFormat="1" ht="38.1" customHeight="1" outlineLevel="1" x14ac:dyDescent="0.2">
      <c r="A1648" s="5" t="s">
        <v>340</v>
      </c>
      <c r="B1648" s="5" t="s">
        <v>354</v>
      </c>
      <c r="C1648" s="5" t="s">
        <v>1671</v>
      </c>
      <c r="D1648" s="5" t="s">
        <v>464</v>
      </c>
      <c r="E1648" s="5" t="s">
        <v>13</v>
      </c>
      <c r="F1648" s="5" t="s">
        <v>469</v>
      </c>
      <c r="G1648" s="6">
        <v>60900</v>
      </c>
      <c r="H1648" s="1641" t="str">
        <f>HYPERLINK("https://adv-map.ru/place/?LINK=b558b25308fbcb1d5a96151eac8d9ba4","Ссылка")</f>
        <v>Ссылка</v>
      </c>
      <c r="I1648" s="5" t="s">
        <v>1679</v>
      </c>
    </row>
    <row r="1649" spans="1:9" s="4" customFormat="1" ht="38.1" customHeight="1" outlineLevel="1" x14ac:dyDescent="0.2">
      <c r="A1649" s="5" t="s">
        <v>340</v>
      </c>
      <c r="B1649" s="5" t="s">
        <v>354</v>
      </c>
      <c r="C1649" s="5" t="s">
        <v>1671</v>
      </c>
      <c r="D1649" s="5" t="s">
        <v>464</v>
      </c>
      <c r="E1649" s="5" t="s">
        <v>13</v>
      </c>
      <c r="F1649" s="5" t="s">
        <v>470</v>
      </c>
      <c r="G1649" s="6">
        <v>60900</v>
      </c>
      <c r="H1649" s="1642" t="str">
        <f>HYPERLINK("https://adv-map.ru/place/?LINK=c8e9e8f6602caa13956ef5d9e2d94faf","Ссылка")</f>
        <v>Ссылка</v>
      </c>
      <c r="I1649" s="5" t="s">
        <v>1680</v>
      </c>
    </row>
    <row r="1650" spans="1:9" s="4" customFormat="1" ht="38.1" customHeight="1" outlineLevel="1" x14ac:dyDescent="0.2">
      <c r="A1650" s="5" t="s">
        <v>340</v>
      </c>
      <c r="B1650" s="5" t="s">
        <v>354</v>
      </c>
      <c r="C1650" s="5" t="s">
        <v>1671</v>
      </c>
      <c r="D1650" s="5" t="s">
        <v>464</v>
      </c>
      <c r="E1650" s="5" t="s">
        <v>13</v>
      </c>
      <c r="F1650" s="5" t="s">
        <v>471</v>
      </c>
      <c r="G1650" s="6">
        <v>60900</v>
      </c>
      <c r="H1650" s="1643" t="str">
        <f>HYPERLINK("https://adv-map.ru/place/?LINK=3b1fbff1dbb7cdbcd7fb72bf187bb540","Ссылка")</f>
        <v>Ссылка</v>
      </c>
      <c r="I1650" s="5" t="s">
        <v>1681</v>
      </c>
    </row>
    <row r="1651" spans="1:9" s="4" customFormat="1" ht="38.1" customHeight="1" outlineLevel="1" x14ac:dyDescent="0.2">
      <c r="A1651" s="5" t="s">
        <v>340</v>
      </c>
      <c r="B1651" s="5" t="s">
        <v>354</v>
      </c>
      <c r="C1651" s="5" t="s">
        <v>1671</v>
      </c>
      <c r="D1651" s="5" t="s">
        <v>464</v>
      </c>
      <c r="E1651" s="5" t="s">
        <v>13</v>
      </c>
      <c r="F1651" s="5" t="s">
        <v>472</v>
      </c>
      <c r="G1651" s="6">
        <v>60900</v>
      </c>
      <c r="H1651" s="1644" t="str">
        <f>HYPERLINK("https://adv-map.ru/place/?LINK=6805ded94950c4efa435eb16993d9877","Ссылка")</f>
        <v>Ссылка</v>
      </c>
      <c r="I1651" s="5" t="s">
        <v>1682</v>
      </c>
    </row>
    <row r="1652" spans="1:9" s="4" customFormat="1" ht="38.1" customHeight="1" outlineLevel="1" x14ac:dyDescent="0.2">
      <c r="A1652" s="5" t="s">
        <v>340</v>
      </c>
      <c r="B1652" s="5" t="s">
        <v>354</v>
      </c>
      <c r="C1652" s="5" t="s">
        <v>1671</v>
      </c>
      <c r="D1652" s="5" t="s">
        <v>464</v>
      </c>
      <c r="E1652" s="5" t="s">
        <v>13</v>
      </c>
      <c r="F1652" s="5" t="s">
        <v>473</v>
      </c>
      <c r="G1652" s="6">
        <v>60900</v>
      </c>
      <c r="H1652" s="1645" t="str">
        <f>HYPERLINK("https://adv-map.ru/place/?LINK=de57d954d39bb135197f3b0ba764893c","Ссылка")</f>
        <v>Ссылка</v>
      </c>
      <c r="I1652" s="5" t="s">
        <v>1683</v>
      </c>
    </row>
    <row r="1653" spans="1:9" s="4" customFormat="1" ht="38.1" customHeight="1" outlineLevel="1" x14ac:dyDescent="0.2">
      <c r="A1653" s="5" t="s">
        <v>340</v>
      </c>
      <c r="B1653" s="5" t="s">
        <v>354</v>
      </c>
      <c r="C1653" s="5" t="s">
        <v>1671</v>
      </c>
      <c r="D1653" s="5" t="s">
        <v>12</v>
      </c>
      <c r="E1653" s="5" t="s">
        <v>13</v>
      </c>
      <c r="F1653" s="5" t="s">
        <v>16</v>
      </c>
      <c r="G1653" s="6">
        <v>50400</v>
      </c>
      <c r="H1653" s="1646" t="str">
        <f>HYPERLINK("https://adv-map.ru/place/?LINK=c11e96cc2238b3196fb60fcdc6bbd004","Ссылка")</f>
        <v>Ссылка</v>
      </c>
      <c r="I1653" s="5" t="s">
        <v>1684</v>
      </c>
    </row>
    <row r="1654" spans="1:9" s="4" customFormat="1" ht="38.1" customHeight="1" outlineLevel="1" x14ac:dyDescent="0.2">
      <c r="A1654" s="5" t="s">
        <v>340</v>
      </c>
      <c r="B1654" s="5" t="s">
        <v>354</v>
      </c>
      <c r="C1654" s="5" t="s">
        <v>1685</v>
      </c>
      <c r="D1654" s="5" t="s">
        <v>347</v>
      </c>
      <c r="E1654" s="5" t="s">
        <v>348</v>
      </c>
      <c r="F1654" s="5" t="s">
        <v>14</v>
      </c>
      <c r="G1654" s="6">
        <v>25200</v>
      </c>
      <c r="H1654" s="1647" t="str">
        <f>HYPERLINK("https://adv-map.ru/place/?LINK=11d25153a71428ef36907a16b27bdadd","Ссылка")</f>
        <v>Ссылка</v>
      </c>
      <c r="I1654" s="5" t="s">
        <v>1686</v>
      </c>
    </row>
    <row r="1655" spans="1:9" s="4" customFormat="1" ht="38.1" customHeight="1" outlineLevel="1" x14ac:dyDescent="0.2">
      <c r="A1655" s="5" t="s">
        <v>340</v>
      </c>
      <c r="B1655" s="5" t="s">
        <v>354</v>
      </c>
      <c r="C1655" s="5" t="s">
        <v>1685</v>
      </c>
      <c r="D1655" s="5" t="s">
        <v>347</v>
      </c>
      <c r="E1655" s="5" t="s">
        <v>348</v>
      </c>
      <c r="F1655" s="5" t="s">
        <v>16</v>
      </c>
      <c r="G1655" s="6">
        <v>20160</v>
      </c>
      <c r="H1655" s="1648" t="str">
        <f>HYPERLINK("https://adv-map.ru/place/?LINK=a97ab4dcebed5af202b31481c913fc8d","Ссылка")</f>
        <v>Ссылка</v>
      </c>
      <c r="I1655" s="5" t="s">
        <v>1686</v>
      </c>
    </row>
    <row r="1656" spans="1:9" s="4" customFormat="1" ht="38.1" customHeight="1" outlineLevel="1" x14ac:dyDescent="0.2">
      <c r="A1656" s="5" t="s">
        <v>340</v>
      </c>
      <c r="B1656" s="5" t="s">
        <v>354</v>
      </c>
      <c r="C1656" s="5" t="s">
        <v>1687</v>
      </c>
      <c r="D1656" s="5" t="s">
        <v>347</v>
      </c>
      <c r="E1656" s="5" t="s">
        <v>348</v>
      </c>
      <c r="F1656" s="5" t="s">
        <v>14</v>
      </c>
      <c r="G1656" s="6">
        <v>25200</v>
      </c>
      <c r="H1656" s="1649" t="str">
        <f>HYPERLINK("https://adv-map.ru/place/?LINK=0ba6f0ca7ee642e3b5141ff879bd506e","Ссылка")</f>
        <v>Ссылка</v>
      </c>
      <c r="I1656" s="5" t="s">
        <v>1688</v>
      </c>
    </row>
    <row r="1657" spans="1:9" s="4" customFormat="1" ht="38.1" customHeight="1" outlineLevel="1" x14ac:dyDescent="0.2">
      <c r="A1657" s="5" t="s">
        <v>340</v>
      </c>
      <c r="B1657" s="5" t="s">
        <v>354</v>
      </c>
      <c r="C1657" s="5" t="s">
        <v>1687</v>
      </c>
      <c r="D1657" s="5" t="s">
        <v>347</v>
      </c>
      <c r="E1657" s="5" t="s">
        <v>348</v>
      </c>
      <c r="F1657" s="5" t="s">
        <v>16</v>
      </c>
      <c r="G1657" s="6">
        <v>20160</v>
      </c>
      <c r="H1657" s="1650" t="str">
        <f>HYPERLINK("https://adv-map.ru/place/?LINK=154e401a2c26b30dd69329cd36a72109","Ссылка")</f>
        <v>Ссылка</v>
      </c>
      <c r="I1657" s="5" t="s">
        <v>1689</v>
      </c>
    </row>
    <row r="1658" spans="1:9" s="4" customFormat="1" ht="38.1" customHeight="1" outlineLevel="1" x14ac:dyDescent="0.2">
      <c r="A1658" s="5" t="s">
        <v>340</v>
      </c>
      <c r="B1658" s="5" t="s">
        <v>354</v>
      </c>
      <c r="C1658" s="5" t="s">
        <v>1690</v>
      </c>
      <c r="D1658" s="5" t="s">
        <v>396</v>
      </c>
      <c r="E1658" s="5" t="s">
        <v>397</v>
      </c>
      <c r="F1658" s="5" t="s">
        <v>28</v>
      </c>
      <c r="G1658" s="6">
        <v>35280</v>
      </c>
      <c r="H1658" s="1651" t="str">
        <f>HYPERLINK("https://adv-map.ru/place/?LINK=c8eea4e6be3b6eec85a9e5f3655f30b6","Ссылка")</f>
        <v>Ссылка</v>
      </c>
      <c r="I1658" s="5" t="s">
        <v>1691</v>
      </c>
    </row>
    <row r="1659" spans="1:9" s="4" customFormat="1" ht="38.1" customHeight="1" outlineLevel="1" x14ac:dyDescent="0.2">
      <c r="A1659" s="5" t="s">
        <v>340</v>
      </c>
      <c r="B1659" s="5" t="s">
        <v>354</v>
      </c>
      <c r="C1659" s="5" t="s">
        <v>1690</v>
      </c>
      <c r="D1659" s="5" t="s">
        <v>396</v>
      </c>
      <c r="E1659" s="5" t="s">
        <v>397</v>
      </c>
      <c r="F1659" s="5" t="s">
        <v>30</v>
      </c>
      <c r="G1659" s="6">
        <v>30240</v>
      </c>
      <c r="H1659" s="1652" t="str">
        <f>HYPERLINK("https://adv-map.ru/place/?LINK=bfe6e63e723afdecd83e0a0ff48dac11","Ссылка")</f>
        <v>Ссылка</v>
      </c>
      <c r="I1659" s="5" t="s">
        <v>1691</v>
      </c>
    </row>
    <row r="1660" spans="1:9" s="4" customFormat="1" ht="38.1" customHeight="1" outlineLevel="1" x14ac:dyDescent="0.2">
      <c r="A1660" s="5" t="s">
        <v>340</v>
      </c>
      <c r="B1660" s="5" t="s">
        <v>354</v>
      </c>
      <c r="C1660" s="5" t="s">
        <v>1690</v>
      </c>
      <c r="D1660" s="5" t="s">
        <v>396</v>
      </c>
      <c r="E1660" s="5" t="s">
        <v>397</v>
      </c>
      <c r="F1660" s="5" t="s">
        <v>31</v>
      </c>
      <c r="G1660" s="6">
        <v>25200</v>
      </c>
      <c r="H1660" s="1653" t="str">
        <f>HYPERLINK("https://adv-map.ru/place/?LINK=8874b0eb0441850656b9f7fca5c8572f","Ссылка")</f>
        <v>Ссылка</v>
      </c>
      <c r="I1660" s="5" t="s">
        <v>1691</v>
      </c>
    </row>
    <row r="1661" spans="1:9" s="4" customFormat="1" ht="38.1" customHeight="1" outlineLevel="1" x14ac:dyDescent="0.2">
      <c r="A1661" s="5" t="s">
        <v>340</v>
      </c>
      <c r="B1661" s="5" t="s">
        <v>354</v>
      </c>
      <c r="C1661" s="5" t="s">
        <v>1692</v>
      </c>
      <c r="D1661" s="5" t="s">
        <v>405</v>
      </c>
      <c r="E1661" s="5" t="s">
        <v>348</v>
      </c>
      <c r="F1661" s="5" t="s">
        <v>14</v>
      </c>
      <c r="G1661" s="6">
        <v>25200</v>
      </c>
      <c r="H1661" s="1654" t="str">
        <f>HYPERLINK("https://adv-map.ru/place/?LINK=4d8cd0f24a3cb4be9c23b9ec6c3a70d5","Ссылка")</f>
        <v>Ссылка</v>
      </c>
      <c r="I1661" s="5" t="s">
        <v>1693</v>
      </c>
    </row>
    <row r="1662" spans="1:9" s="4" customFormat="1" ht="38.1" customHeight="1" outlineLevel="1" x14ac:dyDescent="0.2">
      <c r="A1662" s="5" t="s">
        <v>340</v>
      </c>
      <c r="B1662" s="5" t="s">
        <v>354</v>
      </c>
      <c r="C1662" s="5" t="s">
        <v>1692</v>
      </c>
      <c r="D1662" s="5" t="s">
        <v>405</v>
      </c>
      <c r="E1662" s="5" t="s">
        <v>348</v>
      </c>
      <c r="F1662" s="5" t="s">
        <v>16</v>
      </c>
      <c r="G1662" s="6">
        <v>20160</v>
      </c>
      <c r="H1662" s="1655" t="str">
        <f>HYPERLINK("https://adv-map.ru/place/?LINK=d04e5dc8aecc1504c6d532f21bca472a","Ссылка")</f>
        <v>Ссылка</v>
      </c>
      <c r="I1662" s="5" t="s">
        <v>1693</v>
      </c>
    </row>
    <row r="1663" spans="1:9" s="4" customFormat="1" ht="38.1" customHeight="1" outlineLevel="1" x14ac:dyDescent="0.2">
      <c r="A1663" s="5" t="s">
        <v>340</v>
      </c>
      <c r="B1663" s="5" t="s">
        <v>354</v>
      </c>
      <c r="C1663" s="5" t="s">
        <v>1694</v>
      </c>
      <c r="D1663" s="5" t="s">
        <v>347</v>
      </c>
      <c r="E1663" s="5" t="s">
        <v>348</v>
      </c>
      <c r="F1663" s="5" t="s">
        <v>14</v>
      </c>
      <c r="G1663" s="6">
        <v>25200</v>
      </c>
      <c r="H1663" s="1656" t="str">
        <f>HYPERLINK("https://adv-map.ru/place/?LINK=e545f2fdeffe0667f4a0f32b53ae9688","Ссылка")</f>
        <v>Ссылка</v>
      </c>
      <c r="I1663" s="5" t="s">
        <v>1695</v>
      </c>
    </row>
    <row r="1664" spans="1:9" s="4" customFormat="1" ht="38.1" customHeight="1" outlineLevel="1" x14ac:dyDescent="0.2">
      <c r="A1664" s="5" t="s">
        <v>340</v>
      </c>
      <c r="B1664" s="5" t="s">
        <v>354</v>
      </c>
      <c r="C1664" s="5" t="s">
        <v>1694</v>
      </c>
      <c r="D1664" s="5" t="s">
        <v>347</v>
      </c>
      <c r="E1664" s="5" t="s">
        <v>348</v>
      </c>
      <c r="F1664" s="5" t="s">
        <v>16</v>
      </c>
      <c r="G1664" s="6">
        <v>20160</v>
      </c>
      <c r="H1664" s="1657" t="str">
        <f>HYPERLINK("https://adv-map.ru/place/?LINK=3f88275404dd2a878944efd887735196","Ссылка")</f>
        <v>Ссылка</v>
      </c>
      <c r="I1664" s="5" t="s">
        <v>1695</v>
      </c>
    </row>
    <row r="1665" spans="1:9" s="4" customFormat="1" ht="38.1" customHeight="1" outlineLevel="1" x14ac:dyDescent="0.2">
      <c r="A1665" s="5" t="s">
        <v>340</v>
      </c>
      <c r="B1665" s="5" t="s">
        <v>354</v>
      </c>
      <c r="C1665" s="5" t="s">
        <v>1696</v>
      </c>
      <c r="D1665" s="5" t="s">
        <v>405</v>
      </c>
      <c r="E1665" s="5" t="s">
        <v>348</v>
      </c>
      <c r="F1665" s="5" t="s">
        <v>14</v>
      </c>
      <c r="G1665" s="6">
        <v>25200</v>
      </c>
      <c r="H1665" s="1658" t="str">
        <f>HYPERLINK("https://adv-map.ru/place/?LINK=357e18e2b56bb600906641129b5a554f","Ссылка")</f>
        <v>Ссылка</v>
      </c>
      <c r="I1665" s="5" t="s">
        <v>1697</v>
      </c>
    </row>
    <row r="1666" spans="1:9" s="4" customFormat="1" ht="38.1" customHeight="1" outlineLevel="1" x14ac:dyDescent="0.2">
      <c r="A1666" s="5" t="s">
        <v>340</v>
      </c>
      <c r="B1666" s="5" t="s">
        <v>354</v>
      </c>
      <c r="C1666" s="5" t="s">
        <v>1696</v>
      </c>
      <c r="D1666" s="5" t="s">
        <v>405</v>
      </c>
      <c r="E1666" s="5" t="s">
        <v>348</v>
      </c>
      <c r="F1666" s="5" t="s">
        <v>16</v>
      </c>
      <c r="G1666" s="6">
        <v>20160</v>
      </c>
      <c r="H1666" s="1659" t="str">
        <f>HYPERLINK("https://adv-map.ru/place/?LINK=d46ce5b878dcee752d52c40b7f175ede","Ссылка")</f>
        <v>Ссылка</v>
      </c>
      <c r="I1666" s="5" t="s">
        <v>1697</v>
      </c>
    </row>
    <row r="1667" spans="1:9" s="4" customFormat="1" ht="38.1" customHeight="1" outlineLevel="1" x14ac:dyDescent="0.2">
      <c r="A1667" s="5" t="s">
        <v>340</v>
      </c>
      <c r="B1667" s="5" t="s">
        <v>354</v>
      </c>
      <c r="C1667" s="5" t="s">
        <v>1698</v>
      </c>
      <c r="D1667" s="5" t="s">
        <v>347</v>
      </c>
      <c r="E1667" s="5" t="s">
        <v>348</v>
      </c>
      <c r="F1667" s="5" t="s">
        <v>14</v>
      </c>
      <c r="G1667" s="6">
        <v>25200</v>
      </c>
      <c r="H1667" s="1660" t="str">
        <f>HYPERLINK("https://adv-map.ru/place/?LINK=d18e75fe06825e0101a74935c4ccec22","Ссылка")</f>
        <v>Ссылка</v>
      </c>
      <c r="I1667" s="5" t="s">
        <v>1699</v>
      </c>
    </row>
    <row r="1668" spans="1:9" s="4" customFormat="1" ht="51" customHeight="1" outlineLevel="1" x14ac:dyDescent="0.2">
      <c r="A1668" s="5" t="s">
        <v>340</v>
      </c>
      <c r="B1668" s="5" t="s">
        <v>354</v>
      </c>
      <c r="C1668" s="5" t="s">
        <v>1698</v>
      </c>
      <c r="D1668" s="5" t="s">
        <v>347</v>
      </c>
      <c r="E1668" s="5" t="s">
        <v>348</v>
      </c>
      <c r="F1668" s="5" t="s">
        <v>16</v>
      </c>
      <c r="G1668" s="6">
        <v>20160</v>
      </c>
      <c r="H1668" s="1661" t="str">
        <f>HYPERLINK("https://adv-map.ru/place/?LINK=4b46f5e46948709499a640311d544744","Ссылка")</f>
        <v>Ссылка</v>
      </c>
      <c r="I1668" s="5" t="s">
        <v>1699</v>
      </c>
    </row>
    <row r="1669" spans="1:9" s="4" customFormat="1" ht="38.1" customHeight="1" outlineLevel="1" x14ac:dyDescent="0.2">
      <c r="A1669" s="5" t="s">
        <v>340</v>
      </c>
      <c r="B1669" s="5" t="s">
        <v>354</v>
      </c>
      <c r="C1669" s="5" t="s">
        <v>1700</v>
      </c>
      <c r="D1669" s="5" t="s">
        <v>405</v>
      </c>
      <c r="E1669" s="5" t="s">
        <v>348</v>
      </c>
      <c r="F1669" s="5" t="s">
        <v>14</v>
      </c>
      <c r="G1669" s="6">
        <v>25200</v>
      </c>
      <c r="H1669" s="1662" t="str">
        <f>HYPERLINK("https://adv-map.ru/place/?LINK=8447446939dc0d1736fbd77d7ce56efb","Ссылка")</f>
        <v>Ссылка</v>
      </c>
      <c r="I1669" s="5" t="s">
        <v>1701</v>
      </c>
    </row>
    <row r="1670" spans="1:9" s="4" customFormat="1" ht="38.1" customHeight="1" outlineLevel="1" x14ac:dyDescent="0.2">
      <c r="A1670" s="5" t="s">
        <v>340</v>
      </c>
      <c r="B1670" s="5" t="s">
        <v>354</v>
      </c>
      <c r="C1670" s="5" t="s">
        <v>1700</v>
      </c>
      <c r="D1670" s="5" t="s">
        <v>405</v>
      </c>
      <c r="E1670" s="5" t="s">
        <v>348</v>
      </c>
      <c r="F1670" s="5" t="s">
        <v>16</v>
      </c>
      <c r="G1670" s="6">
        <v>20160</v>
      </c>
      <c r="H1670" s="1663" t="str">
        <f>HYPERLINK("https://adv-map.ru/place/?LINK=3a09e1c7af958bbd39694e4d109eb289","Ссылка")</f>
        <v>Ссылка</v>
      </c>
      <c r="I1670" s="5" t="s">
        <v>1701</v>
      </c>
    </row>
    <row r="1671" spans="1:9" s="4" customFormat="1" ht="38.1" customHeight="1" outlineLevel="1" x14ac:dyDescent="0.2">
      <c r="A1671" s="5" t="s">
        <v>340</v>
      </c>
      <c r="B1671" s="5" t="s">
        <v>354</v>
      </c>
      <c r="C1671" s="5" t="s">
        <v>1702</v>
      </c>
      <c r="D1671" s="5" t="s">
        <v>464</v>
      </c>
      <c r="E1671" s="5" t="s">
        <v>13</v>
      </c>
      <c r="F1671" s="5" t="s">
        <v>28</v>
      </c>
      <c r="G1671" s="6">
        <v>60900</v>
      </c>
      <c r="H1671" s="1664" t="str">
        <f>HYPERLINK("https://adv-map.ru/place/?LINK=3da0baf6103849850afb21058bbfa45c","Ссылка")</f>
        <v>Ссылка</v>
      </c>
      <c r="I1671" s="5" t="s">
        <v>1703</v>
      </c>
    </row>
    <row r="1672" spans="1:9" s="4" customFormat="1" ht="38.1" customHeight="1" outlineLevel="1" x14ac:dyDescent="0.2">
      <c r="A1672" s="5" t="s">
        <v>340</v>
      </c>
      <c r="B1672" s="5" t="s">
        <v>354</v>
      </c>
      <c r="C1672" s="5" t="s">
        <v>1702</v>
      </c>
      <c r="D1672" s="5" t="s">
        <v>464</v>
      </c>
      <c r="E1672" s="5" t="s">
        <v>13</v>
      </c>
      <c r="F1672" s="5" t="s">
        <v>466</v>
      </c>
      <c r="G1672" s="6">
        <v>60900</v>
      </c>
      <c r="H1672" s="1665" t="str">
        <f>HYPERLINK("https://adv-map.ru/place/?LINK=9e78da293947055201dddab2c8b30f61","Ссылка")</f>
        <v>Ссылка</v>
      </c>
      <c r="I1672" s="5" t="s">
        <v>1704</v>
      </c>
    </row>
    <row r="1673" spans="1:9" s="4" customFormat="1" ht="38.1" customHeight="1" outlineLevel="1" x14ac:dyDescent="0.2">
      <c r="A1673" s="5" t="s">
        <v>340</v>
      </c>
      <c r="B1673" s="5" t="s">
        <v>354</v>
      </c>
      <c r="C1673" s="5" t="s">
        <v>1702</v>
      </c>
      <c r="D1673" s="5" t="s">
        <v>464</v>
      </c>
      <c r="E1673" s="5" t="s">
        <v>13</v>
      </c>
      <c r="F1673" s="5" t="s">
        <v>467</v>
      </c>
      <c r="G1673" s="6">
        <v>60900</v>
      </c>
      <c r="H1673" s="1666" t="str">
        <f>HYPERLINK("https://adv-map.ru/place/?LINK=cf3c6bc68be0be374df342959d5e7377","Ссылка")</f>
        <v>Ссылка</v>
      </c>
      <c r="I1673" s="5" t="s">
        <v>1705</v>
      </c>
    </row>
    <row r="1674" spans="1:9" s="4" customFormat="1" ht="38.1" customHeight="1" outlineLevel="1" x14ac:dyDescent="0.2">
      <c r="A1674" s="5" t="s">
        <v>340</v>
      </c>
      <c r="B1674" s="5" t="s">
        <v>354</v>
      </c>
      <c r="C1674" s="5" t="s">
        <v>1702</v>
      </c>
      <c r="D1674" s="5" t="s">
        <v>464</v>
      </c>
      <c r="E1674" s="5" t="s">
        <v>13</v>
      </c>
      <c r="F1674" s="5" t="s">
        <v>468</v>
      </c>
      <c r="G1674" s="6">
        <v>60900</v>
      </c>
      <c r="H1674" s="1667" t="str">
        <f>HYPERLINK("https://adv-map.ru/place/?LINK=de463cd5d4ced8440373e16cbac7765e","Ссылка")</f>
        <v>Ссылка</v>
      </c>
      <c r="I1674" s="5" t="s">
        <v>1706</v>
      </c>
    </row>
    <row r="1675" spans="1:9" s="4" customFormat="1" ht="38.1" customHeight="1" outlineLevel="1" x14ac:dyDescent="0.2">
      <c r="A1675" s="5" t="s">
        <v>340</v>
      </c>
      <c r="B1675" s="5" t="s">
        <v>354</v>
      </c>
      <c r="C1675" s="5" t="s">
        <v>1702</v>
      </c>
      <c r="D1675" s="5" t="s">
        <v>464</v>
      </c>
      <c r="E1675" s="5" t="s">
        <v>13</v>
      </c>
      <c r="F1675" s="5" t="s">
        <v>30</v>
      </c>
      <c r="G1675" s="6">
        <v>60900</v>
      </c>
      <c r="H1675" s="1668" t="str">
        <f>HYPERLINK("https://adv-map.ru/place/?LINK=fa40a6b023348cfc3ea77c0789c1450c","Ссылка")</f>
        <v>Ссылка</v>
      </c>
      <c r="I1675" s="5" t="s">
        <v>1707</v>
      </c>
    </row>
    <row r="1676" spans="1:9" s="4" customFormat="1" ht="38.1" customHeight="1" outlineLevel="1" x14ac:dyDescent="0.2">
      <c r="A1676" s="5" t="s">
        <v>340</v>
      </c>
      <c r="B1676" s="5" t="s">
        <v>354</v>
      </c>
      <c r="C1676" s="5" t="s">
        <v>1702</v>
      </c>
      <c r="D1676" s="5" t="s">
        <v>464</v>
      </c>
      <c r="E1676" s="5" t="s">
        <v>13</v>
      </c>
      <c r="F1676" s="5" t="s">
        <v>31</v>
      </c>
      <c r="G1676" s="6">
        <v>60900</v>
      </c>
      <c r="H1676" s="1669" t="str">
        <f>HYPERLINK("https://adv-map.ru/place/?LINK=e98a0ee140a5fb53671c27d4fd9f2a6c","Ссылка")</f>
        <v>Ссылка</v>
      </c>
      <c r="I1676" s="5" t="s">
        <v>1708</v>
      </c>
    </row>
    <row r="1677" spans="1:9" s="4" customFormat="1" ht="38.1" customHeight="1" outlineLevel="1" x14ac:dyDescent="0.2">
      <c r="A1677" s="5" t="s">
        <v>340</v>
      </c>
      <c r="B1677" s="5" t="s">
        <v>354</v>
      </c>
      <c r="C1677" s="5" t="s">
        <v>1702</v>
      </c>
      <c r="D1677" s="5" t="s">
        <v>464</v>
      </c>
      <c r="E1677" s="5" t="s">
        <v>13</v>
      </c>
      <c r="F1677" s="5" t="s">
        <v>32</v>
      </c>
      <c r="G1677" s="6">
        <v>60900</v>
      </c>
      <c r="H1677" s="1670" t="str">
        <f>HYPERLINK("https://adv-map.ru/place/?LINK=0d2c93c5fc2b1ff85feb6bc977fbbe72","Ссылка")</f>
        <v>Ссылка</v>
      </c>
      <c r="I1677" s="5" t="s">
        <v>1709</v>
      </c>
    </row>
    <row r="1678" spans="1:9" s="4" customFormat="1" ht="38.1" customHeight="1" outlineLevel="1" x14ac:dyDescent="0.2">
      <c r="A1678" s="5" t="s">
        <v>340</v>
      </c>
      <c r="B1678" s="5" t="s">
        <v>354</v>
      </c>
      <c r="C1678" s="5" t="s">
        <v>1702</v>
      </c>
      <c r="D1678" s="5" t="s">
        <v>464</v>
      </c>
      <c r="E1678" s="5" t="s">
        <v>13</v>
      </c>
      <c r="F1678" s="5" t="s">
        <v>469</v>
      </c>
      <c r="G1678" s="6">
        <v>60900</v>
      </c>
      <c r="H1678" s="1671" t="str">
        <f>HYPERLINK("https://adv-map.ru/place/?LINK=14827cc0799e48dd63cd7630b71573dc","Ссылка")</f>
        <v>Ссылка</v>
      </c>
      <c r="I1678" s="5" t="s">
        <v>1710</v>
      </c>
    </row>
    <row r="1679" spans="1:9" s="4" customFormat="1" ht="38.1" customHeight="1" outlineLevel="1" x14ac:dyDescent="0.2">
      <c r="A1679" s="5" t="s">
        <v>340</v>
      </c>
      <c r="B1679" s="5" t="s">
        <v>354</v>
      </c>
      <c r="C1679" s="5" t="s">
        <v>1702</v>
      </c>
      <c r="D1679" s="5" t="s">
        <v>464</v>
      </c>
      <c r="E1679" s="5" t="s">
        <v>13</v>
      </c>
      <c r="F1679" s="5" t="s">
        <v>470</v>
      </c>
      <c r="G1679" s="6">
        <v>60900</v>
      </c>
      <c r="H1679" s="1672" t="str">
        <f>HYPERLINK("https://adv-map.ru/place/?LINK=7e7f7e3436c45476a6d9906addcf7dad","Ссылка")</f>
        <v>Ссылка</v>
      </c>
      <c r="I1679" s="5" t="s">
        <v>1711</v>
      </c>
    </row>
    <row r="1680" spans="1:9" s="4" customFormat="1" ht="38.1" customHeight="1" outlineLevel="1" x14ac:dyDescent="0.2">
      <c r="A1680" s="5" t="s">
        <v>340</v>
      </c>
      <c r="B1680" s="5" t="s">
        <v>354</v>
      </c>
      <c r="C1680" s="5" t="s">
        <v>1702</v>
      </c>
      <c r="D1680" s="5" t="s">
        <v>464</v>
      </c>
      <c r="E1680" s="5" t="s">
        <v>13</v>
      </c>
      <c r="F1680" s="5" t="s">
        <v>471</v>
      </c>
      <c r="G1680" s="6">
        <v>60900</v>
      </c>
      <c r="H1680" s="1673" t="str">
        <f>HYPERLINK("https://adv-map.ru/place/?LINK=dca4c64cb8ecd2819b098e78d4901c40","Ссылка")</f>
        <v>Ссылка</v>
      </c>
      <c r="I1680" s="5" t="s">
        <v>1712</v>
      </c>
    </row>
    <row r="1681" spans="1:9" s="4" customFormat="1" ht="38.1" customHeight="1" outlineLevel="1" x14ac:dyDescent="0.2">
      <c r="A1681" s="5" t="s">
        <v>340</v>
      </c>
      <c r="B1681" s="5" t="s">
        <v>354</v>
      </c>
      <c r="C1681" s="5" t="s">
        <v>1702</v>
      </c>
      <c r="D1681" s="5" t="s">
        <v>464</v>
      </c>
      <c r="E1681" s="5" t="s">
        <v>13</v>
      </c>
      <c r="F1681" s="5" t="s">
        <v>472</v>
      </c>
      <c r="G1681" s="6">
        <v>60900</v>
      </c>
      <c r="H1681" s="1674" t="str">
        <f>HYPERLINK("https://adv-map.ru/place/?LINK=453877ce226fc9b360d5d4278dbc785f","Ссылка")</f>
        <v>Ссылка</v>
      </c>
      <c r="I1681" s="5" t="s">
        <v>1713</v>
      </c>
    </row>
    <row r="1682" spans="1:9" s="4" customFormat="1" ht="38.1" customHeight="1" outlineLevel="1" x14ac:dyDescent="0.2">
      <c r="A1682" s="5" t="s">
        <v>340</v>
      </c>
      <c r="B1682" s="5" t="s">
        <v>354</v>
      </c>
      <c r="C1682" s="5" t="s">
        <v>1702</v>
      </c>
      <c r="D1682" s="5" t="s">
        <v>464</v>
      </c>
      <c r="E1682" s="5" t="s">
        <v>13</v>
      </c>
      <c r="F1682" s="5" t="s">
        <v>473</v>
      </c>
      <c r="G1682" s="6">
        <v>60900</v>
      </c>
      <c r="H1682" s="1675" t="str">
        <f>HYPERLINK("https://adv-map.ru/place/?LINK=5541f8e27b6800f47f653328d7460bd0","Ссылка")</f>
        <v>Ссылка</v>
      </c>
      <c r="I1682" s="5" t="s">
        <v>1714</v>
      </c>
    </row>
    <row r="1683" spans="1:9" s="4" customFormat="1" ht="38.1" customHeight="1" outlineLevel="1" x14ac:dyDescent="0.2">
      <c r="A1683" s="5" t="s">
        <v>340</v>
      </c>
      <c r="B1683" s="5" t="s">
        <v>354</v>
      </c>
      <c r="C1683" s="5" t="s">
        <v>1702</v>
      </c>
      <c r="D1683" s="5" t="s">
        <v>12</v>
      </c>
      <c r="E1683" s="5" t="s">
        <v>13</v>
      </c>
      <c r="F1683" s="5" t="s">
        <v>16</v>
      </c>
      <c r="G1683" s="6">
        <v>44100</v>
      </c>
      <c r="H1683" s="1676" t="str">
        <f>HYPERLINK("https://adv-map.ru/place/?LINK=a17a03670e32877f97d42d05704a3ae5","Ссылка")</f>
        <v>Ссылка</v>
      </c>
      <c r="I1683" s="5" t="s">
        <v>1715</v>
      </c>
    </row>
    <row r="1684" spans="1:9" s="4" customFormat="1" ht="38.1" customHeight="1" outlineLevel="1" x14ac:dyDescent="0.2">
      <c r="A1684" s="5" t="s">
        <v>340</v>
      </c>
      <c r="B1684" s="5" t="s">
        <v>354</v>
      </c>
      <c r="C1684" s="5" t="s">
        <v>1716</v>
      </c>
      <c r="D1684" s="5" t="s">
        <v>49</v>
      </c>
      <c r="E1684" s="5" t="s">
        <v>13</v>
      </c>
      <c r="F1684" s="5" t="s">
        <v>28</v>
      </c>
      <c r="G1684" s="6">
        <v>50400</v>
      </c>
      <c r="H1684" s="1677" t="str">
        <f>HYPERLINK("https://adv-map.ru/place/?LINK=a8a5d47fd2793569226418c4274a9134","Ссылка")</f>
        <v>Ссылка</v>
      </c>
      <c r="I1684" s="5" t="s">
        <v>1717</v>
      </c>
    </row>
    <row r="1685" spans="1:9" s="4" customFormat="1" ht="38.1" customHeight="1" outlineLevel="1" x14ac:dyDescent="0.2">
      <c r="A1685" s="5" t="s">
        <v>340</v>
      </c>
      <c r="B1685" s="5" t="s">
        <v>354</v>
      </c>
      <c r="C1685" s="5" t="s">
        <v>1716</v>
      </c>
      <c r="D1685" s="5" t="s">
        <v>49</v>
      </c>
      <c r="E1685" s="5" t="s">
        <v>13</v>
      </c>
      <c r="F1685" s="5" t="s">
        <v>30</v>
      </c>
      <c r="G1685" s="6">
        <v>50400</v>
      </c>
      <c r="H1685" s="1678" t="str">
        <f>HYPERLINK("https://adv-map.ru/place/?LINK=3f023db5796e6d7d077edac69a9ba0f4","Ссылка")</f>
        <v>Ссылка</v>
      </c>
      <c r="I1685" s="5" t="s">
        <v>1717</v>
      </c>
    </row>
    <row r="1686" spans="1:9" s="4" customFormat="1" ht="38.1" customHeight="1" outlineLevel="1" x14ac:dyDescent="0.2">
      <c r="A1686" s="5" t="s">
        <v>340</v>
      </c>
      <c r="B1686" s="5" t="s">
        <v>354</v>
      </c>
      <c r="C1686" s="5" t="s">
        <v>1716</v>
      </c>
      <c r="D1686" s="5" t="s">
        <v>49</v>
      </c>
      <c r="E1686" s="5" t="s">
        <v>13</v>
      </c>
      <c r="F1686" s="5" t="s">
        <v>31</v>
      </c>
      <c r="G1686" s="6">
        <v>50400</v>
      </c>
      <c r="H1686" s="1679" t="str">
        <f>HYPERLINK("https://adv-map.ru/place/?LINK=1af31146eb61d0ba6195e9950491d6cb","Ссылка")</f>
        <v>Ссылка</v>
      </c>
      <c r="I1686" s="5" t="s">
        <v>1717</v>
      </c>
    </row>
    <row r="1687" spans="1:9" s="4" customFormat="1" ht="38.1" customHeight="1" outlineLevel="1" x14ac:dyDescent="0.2">
      <c r="A1687" s="5" t="s">
        <v>340</v>
      </c>
      <c r="B1687" s="5" t="s">
        <v>354</v>
      </c>
      <c r="C1687" s="5" t="s">
        <v>1716</v>
      </c>
      <c r="D1687" s="5" t="s">
        <v>12</v>
      </c>
      <c r="E1687" s="5" t="s">
        <v>13</v>
      </c>
      <c r="F1687" s="5" t="s">
        <v>16</v>
      </c>
      <c r="G1687" s="6">
        <v>31500</v>
      </c>
      <c r="H1687" s="1680" t="str">
        <f>HYPERLINK("https://adv-map.ru/place/?LINK=ec1309e3b4ca9ac904b8aa8f14c8f077","Ссылка")</f>
        <v>Ссылка</v>
      </c>
      <c r="I1687" s="5" t="s">
        <v>1717</v>
      </c>
    </row>
    <row r="1688" spans="1:9" s="4" customFormat="1" ht="38.1" customHeight="1" outlineLevel="1" x14ac:dyDescent="0.2">
      <c r="A1688" s="5" t="s">
        <v>340</v>
      </c>
      <c r="B1688" s="5" t="s">
        <v>134</v>
      </c>
      <c r="C1688" s="5" t="s">
        <v>1718</v>
      </c>
      <c r="D1688" s="5" t="s">
        <v>43</v>
      </c>
      <c r="E1688" s="5" t="s">
        <v>504</v>
      </c>
      <c r="F1688" s="5" t="s">
        <v>14</v>
      </c>
      <c r="G1688" s="6">
        <v>42000</v>
      </c>
      <c r="H1688" s="1681" t="str">
        <f>HYPERLINK("https://adv-map.ru/place/?LINK=a6a2d9c0419137dc2900cbbad3fd58a2","Ссылка")</f>
        <v>Ссылка</v>
      </c>
      <c r="I1688" s="5" t="s">
        <v>1719</v>
      </c>
    </row>
    <row r="1689" spans="1:9" s="4" customFormat="1" ht="38.1" customHeight="1" outlineLevel="1" x14ac:dyDescent="0.2">
      <c r="A1689" s="5" t="s">
        <v>340</v>
      </c>
      <c r="B1689" s="5" t="s">
        <v>134</v>
      </c>
      <c r="C1689" s="5" t="s">
        <v>1718</v>
      </c>
      <c r="D1689" s="5" t="s">
        <v>43</v>
      </c>
      <c r="E1689" s="5" t="s">
        <v>504</v>
      </c>
      <c r="F1689" s="5" t="s">
        <v>16</v>
      </c>
      <c r="G1689" s="6">
        <v>37800</v>
      </c>
      <c r="H1689" s="1682" t="str">
        <f>HYPERLINK("https://adv-map.ru/place/?LINK=2ebf72e94bf3ee9afcb621ccd379a057","Ссылка")</f>
        <v>Ссылка</v>
      </c>
      <c r="I1689" s="5" t="s">
        <v>1719</v>
      </c>
    </row>
    <row r="1690" spans="1:9" s="4" customFormat="1" ht="38.1" customHeight="1" outlineLevel="1" x14ac:dyDescent="0.2">
      <c r="A1690" s="5" t="s">
        <v>340</v>
      </c>
      <c r="B1690" s="5" t="s">
        <v>134</v>
      </c>
      <c r="C1690" s="5" t="s">
        <v>1720</v>
      </c>
      <c r="D1690" s="5" t="s">
        <v>347</v>
      </c>
      <c r="E1690" s="5" t="s">
        <v>348</v>
      </c>
      <c r="F1690" s="5" t="s">
        <v>14</v>
      </c>
      <c r="G1690" s="6">
        <v>25200</v>
      </c>
      <c r="H1690" s="1683" t="str">
        <f>HYPERLINK("https://adv-map.ru/place/?LINK=026c13657d8b97356b888ab9c7000b44","Ссылка")</f>
        <v>Ссылка</v>
      </c>
      <c r="I1690" s="5" t="s">
        <v>1721</v>
      </c>
    </row>
    <row r="1691" spans="1:9" s="4" customFormat="1" ht="38.1" customHeight="1" outlineLevel="1" x14ac:dyDescent="0.2">
      <c r="A1691" s="5" t="s">
        <v>340</v>
      </c>
      <c r="B1691" s="5" t="s">
        <v>134</v>
      </c>
      <c r="C1691" s="5" t="s">
        <v>1720</v>
      </c>
      <c r="D1691" s="5" t="s">
        <v>347</v>
      </c>
      <c r="E1691" s="5" t="s">
        <v>348</v>
      </c>
      <c r="F1691" s="5" t="s">
        <v>16</v>
      </c>
      <c r="G1691" s="6">
        <v>22680</v>
      </c>
      <c r="H1691" s="1684" t="str">
        <f>HYPERLINK("https://adv-map.ru/place/?LINK=96cbca0536b774c7a09862327ca3af1c","Ссылка")</f>
        <v>Ссылка</v>
      </c>
      <c r="I1691" s="5" t="s">
        <v>1722</v>
      </c>
    </row>
    <row r="1692" spans="1:9" s="4" customFormat="1" ht="51" customHeight="1" outlineLevel="1" x14ac:dyDescent="0.2">
      <c r="A1692" s="5" t="s">
        <v>340</v>
      </c>
      <c r="B1692" s="5" t="s">
        <v>354</v>
      </c>
      <c r="C1692" s="5" t="s">
        <v>1723</v>
      </c>
      <c r="D1692" s="5" t="s">
        <v>396</v>
      </c>
      <c r="E1692" s="5" t="s">
        <v>397</v>
      </c>
      <c r="F1692" s="5" t="s">
        <v>28</v>
      </c>
      <c r="G1692" s="6">
        <v>25200</v>
      </c>
      <c r="H1692" s="1685" t="str">
        <f>HYPERLINK("https://adv-map.ru/place/?LINK=892e7e94b2f263d04b6879136a406db8","Ссылка")</f>
        <v>Ссылка</v>
      </c>
      <c r="I1692" s="5" t="s">
        <v>1724</v>
      </c>
    </row>
    <row r="1693" spans="1:9" s="4" customFormat="1" ht="38.1" customHeight="1" outlineLevel="1" x14ac:dyDescent="0.2">
      <c r="A1693" s="5" t="s">
        <v>340</v>
      </c>
      <c r="B1693" s="5" t="s">
        <v>354</v>
      </c>
      <c r="C1693" s="5" t="s">
        <v>1723</v>
      </c>
      <c r="D1693" s="5" t="s">
        <v>396</v>
      </c>
      <c r="E1693" s="5" t="s">
        <v>397</v>
      </c>
      <c r="F1693" s="5" t="s">
        <v>30</v>
      </c>
      <c r="G1693" s="6">
        <v>25200</v>
      </c>
      <c r="H1693" s="1686" t="str">
        <f>HYPERLINK("https://adv-map.ru/place/?LINK=96fed8cc70521514ee9a76e3a3d9082e","Ссылка")</f>
        <v>Ссылка</v>
      </c>
      <c r="I1693" s="5" t="s">
        <v>1724</v>
      </c>
    </row>
    <row r="1694" spans="1:9" s="4" customFormat="1" ht="38.1" customHeight="1" outlineLevel="1" x14ac:dyDescent="0.2">
      <c r="A1694" s="5" t="s">
        <v>340</v>
      </c>
      <c r="B1694" s="5" t="s">
        <v>354</v>
      </c>
      <c r="C1694" s="5" t="s">
        <v>1723</v>
      </c>
      <c r="D1694" s="5" t="s">
        <v>396</v>
      </c>
      <c r="E1694" s="5" t="s">
        <v>397</v>
      </c>
      <c r="F1694" s="5" t="s">
        <v>31</v>
      </c>
      <c r="G1694" s="6">
        <v>20160</v>
      </c>
      <c r="H1694" s="1687" t="str">
        <f>HYPERLINK("https://adv-map.ru/place/?LINK=178b6bfc758653bca62b4fae299b8435","Ссылка")</f>
        <v>Ссылка</v>
      </c>
      <c r="I1694" s="5" t="s">
        <v>1724</v>
      </c>
    </row>
    <row r="1695" spans="1:9" s="4" customFormat="1" ht="38.1" customHeight="1" outlineLevel="1" x14ac:dyDescent="0.2">
      <c r="A1695" s="5" t="s">
        <v>340</v>
      </c>
      <c r="B1695" s="5" t="s">
        <v>354</v>
      </c>
      <c r="C1695" s="5" t="s">
        <v>1725</v>
      </c>
      <c r="D1695" s="5" t="s">
        <v>12</v>
      </c>
      <c r="E1695" s="5" t="s">
        <v>13</v>
      </c>
      <c r="F1695" s="5" t="s">
        <v>14</v>
      </c>
      <c r="G1695" s="6">
        <v>34650</v>
      </c>
      <c r="H1695" s="1688" t="str">
        <f>HYPERLINK("https://adv-map.ru/place/?LINK=8c87bd2f2a004dd62ca5eebbe0956296","Ссылка")</f>
        <v>Ссылка</v>
      </c>
      <c r="I1695" s="5" t="s">
        <v>1726</v>
      </c>
    </row>
    <row r="1696" spans="1:9" s="4" customFormat="1" ht="38.1" customHeight="1" outlineLevel="1" x14ac:dyDescent="0.2">
      <c r="A1696" s="5" t="s">
        <v>340</v>
      </c>
      <c r="B1696" s="5" t="s">
        <v>354</v>
      </c>
      <c r="C1696" s="5" t="s">
        <v>1725</v>
      </c>
      <c r="D1696" s="5" t="s">
        <v>12</v>
      </c>
      <c r="E1696" s="5" t="s">
        <v>13</v>
      </c>
      <c r="F1696" s="5" t="s">
        <v>16</v>
      </c>
      <c r="G1696" s="6">
        <v>25200</v>
      </c>
      <c r="H1696" s="1689" t="str">
        <f>HYPERLINK("https://adv-map.ru/place/?LINK=9e2ec388519b84b8745bd96b18055c00","Ссылка")</f>
        <v>Ссылка</v>
      </c>
      <c r="I1696" s="5" t="s">
        <v>1726</v>
      </c>
    </row>
    <row r="1697" spans="1:9" s="4" customFormat="1" ht="38.1" customHeight="1" outlineLevel="1" x14ac:dyDescent="0.2">
      <c r="A1697" s="5" t="s">
        <v>340</v>
      </c>
      <c r="B1697" s="5" t="s">
        <v>354</v>
      </c>
      <c r="C1697" s="5" t="s">
        <v>1727</v>
      </c>
      <c r="D1697" s="5" t="s">
        <v>12</v>
      </c>
      <c r="E1697" s="5" t="s">
        <v>13</v>
      </c>
      <c r="F1697" s="5" t="s">
        <v>14</v>
      </c>
      <c r="G1697" s="6">
        <v>34650</v>
      </c>
      <c r="H1697" s="1690" t="str">
        <f>HYPERLINK("https://adv-map.ru/place/?LINK=69c78c533f435d05043e21ae88a0582b","Ссылка")</f>
        <v>Ссылка</v>
      </c>
      <c r="I1697" s="5" t="s">
        <v>1728</v>
      </c>
    </row>
    <row r="1698" spans="1:9" s="4" customFormat="1" ht="51" customHeight="1" outlineLevel="1" x14ac:dyDescent="0.2">
      <c r="A1698" s="5" t="s">
        <v>340</v>
      </c>
      <c r="B1698" s="5" t="s">
        <v>354</v>
      </c>
      <c r="C1698" s="5" t="s">
        <v>1727</v>
      </c>
      <c r="D1698" s="5" t="s">
        <v>12</v>
      </c>
      <c r="E1698" s="5" t="s">
        <v>13</v>
      </c>
      <c r="F1698" s="5" t="s">
        <v>16</v>
      </c>
      <c r="G1698" s="6">
        <v>25200</v>
      </c>
      <c r="H1698" s="1691" t="str">
        <f>HYPERLINK("https://adv-map.ru/place/?LINK=26043287fd5118a22abaaa1d0a44b739","Ссылка")</f>
        <v>Ссылка</v>
      </c>
      <c r="I1698" s="5" t="s">
        <v>1728</v>
      </c>
    </row>
    <row r="1699" spans="1:9" s="4" customFormat="1" ht="38.1" customHeight="1" outlineLevel="1" x14ac:dyDescent="0.2">
      <c r="A1699" s="5" t="s">
        <v>340</v>
      </c>
      <c r="B1699" s="5" t="s">
        <v>354</v>
      </c>
      <c r="C1699" s="5" t="s">
        <v>1729</v>
      </c>
      <c r="D1699" s="5" t="s">
        <v>12</v>
      </c>
      <c r="E1699" s="5" t="s">
        <v>13</v>
      </c>
      <c r="F1699" s="5" t="s">
        <v>14</v>
      </c>
      <c r="G1699" s="6">
        <v>34650</v>
      </c>
      <c r="H1699" s="1692" t="str">
        <f>HYPERLINK("https://adv-map.ru/place/?LINK=772e75cfd1425d9a7270b99bc9bcb843","Ссылка")</f>
        <v>Ссылка</v>
      </c>
      <c r="I1699" s="5" t="s">
        <v>1730</v>
      </c>
    </row>
    <row r="1700" spans="1:9" s="4" customFormat="1" ht="38.1" customHeight="1" outlineLevel="1" x14ac:dyDescent="0.2">
      <c r="A1700" s="5" t="s">
        <v>340</v>
      </c>
      <c r="B1700" s="5" t="s">
        <v>354</v>
      </c>
      <c r="C1700" s="5" t="s">
        <v>1729</v>
      </c>
      <c r="D1700" s="5" t="s">
        <v>12</v>
      </c>
      <c r="E1700" s="5" t="s">
        <v>13</v>
      </c>
      <c r="F1700" s="5" t="s">
        <v>16</v>
      </c>
      <c r="G1700" s="6">
        <v>25200</v>
      </c>
      <c r="H1700" s="1693" t="str">
        <f>HYPERLINK("https://adv-map.ru/place/?LINK=1e8f99091d11d4e74772c7e3293d147a","Ссылка")</f>
        <v>Ссылка</v>
      </c>
      <c r="I1700" s="5" t="s">
        <v>1730</v>
      </c>
    </row>
    <row r="1701" spans="1:9" s="4" customFormat="1" ht="38.1" customHeight="1" outlineLevel="1" x14ac:dyDescent="0.2">
      <c r="A1701" s="5" t="s">
        <v>340</v>
      </c>
      <c r="B1701" s="5" t="s">
        <v>354</v>
      </c>
      <c r="C1701" s="5" t="s">
        <v>1731</v>
      </c>
      <c r="D1701" s="5" t="s">
        <v>12</v>
      </c>
      <c r="E1701" s="5" t="s">
        <v>13</v>
      </c>
      <c r="F1701" s="5" t="s">
        <v>14</v>
      </c>
      <c r="G1701" s="6">
        <v>34650</v>
      </c>
      <c r="H1701" s="1694" t="str">
        <f>HYPERLINK("https://adv-map.ru/place/?LINK=d64231f82794bad762e0aa639491a8c5","Ссылка")</f>
        <v>Ссылка</v>
      </c>
      <c r="I1701" s="5" t="s">
        <v>1732</v>
      </c>
    </row>
    <row r="1702" spans="1:9" s="4" customFormat="1" ht="38.1" customHeight="1" outlineLevel="1" x14ac:dyDescent="0.2">
      <c r="A1702" s="5" t="s">
        <v>340</v>
      </c>
      <c r="B1702" s="5" t="s">
        <v>354</v>
      </c>
      <c r="C1702" s="5" t="s">
        <v>1731</v>
      </c>
      <c r="D1702" s="5" t="s">
        <v>12</v>
      </c>
      <c r="E1702" s="5" t="s">
        <v>13</v>
      </c>
      <c r="F1702" s="5" t="s">
        <v>16</v>
      </c>
      <c r="G1702" s="6">
        <v>25200</v>
      </c>
      <c r="H1702" s="1695" t="str">
        <f>HYPERLINK("https://adv-map.ru/place/?LINK=be55b2e272c84e09ac575ccc221d3fd0","Ссылка")</f>
        <v>Ссылка</v>
      </c>
      <c r="I1702" s="5" t="s">
        <v>1732</v>
      </c>
    </row>
    <row r="1703" spans="1:9" s="4" customFormat="1" ht="38.1" customHeight="1" outlineLevel="1" x14ac:dyDescent="0.2">
      <c r="A1703" s="5" t="s">
        <v>340</v>
      </c>
      <c r="B1703" s="5" t="s">
        <v>354</v>
      </c>
      <c r="C1703" s="5" t="s">
        <v>1733</v>
      </c>
      <c r="D1703" s="5" t="s">
        <v>12</v>
      </c>
      <c r="E1703" s="5" t="s">
        <v>13</v>
      </c>
      <c r="F1703" s="5" t="s">
        <v>14</v>
      </c>
      <c r="G1703" s="6">
        <v>34650</v>
      </c>
      <c r="H1703" s="1696" t="str">
        <f>HYPERLINK("https://adv-map.ru/place/?LINK=fe222bb46dcec665c5feacea9c0fb16a","Ссылка")</f>
        <v>Ссылка</v>
      </c>
      <c r="I1703" s="5" t="s">
        <v>1734</v>
      </c>
    </row>
    <row r="1704" spans="1:9" s="4" customFormat="1" ht="38.1" customHeight="1" outlineLevel="1" x14ac:dyDescent="0.2">
      <c r="A1704" s="5" t="s">
        <v>340</v>
      </c>
      <c r="B1704" s="5" t="s">
        <v>354</v>
      </c>
      <c r="C1704" s="5" t="s">
        <v>1733</v>
      </c>
      <c r="D1704" s="5" t="s">
        <v>12</v>
      </c>
      <c r="E1704" s="5" t="s">
        <v>13</v>
      </c>
      <c r="F1704" s="5" t="s">
        <v>16</v>
      </c>
      <c r="G1704" s="6">
        <v>25200</v>
      </c>
      <c r="H1704" s="1697" t="str">
        <f>HYPERLINK("https://adv-map.ru/place/?LINK=1c439aa4589bdab00a84fe16b068de4f","Ссылка")</f>
        <v>Ссылка</v>
      </c>
      <c r="I1704" s="5" t="s">
        <v>1734</v>
      </c>
    </row>
    <row r="1705" spans="1:9" s="4" customFormat="1" ht="38.1" customHeight="1" outlineLevel="1" x14ac:dyDescent="0.2">
      <c r="A1705" s="5" t="s">
        <v>340</v>
      </c>
      <c r="B1705" s="5" t="s">
        <v>354</v>
      </c>
      <c r="C1705" s="5" t="s">
        <v>1735</v>
      </c>
      <c r="D1705" s="5" t="s">
        <v>12</v>
      </c>
      <c r="E1705" s="5" t="s">
        <v>13</v>
      </c>
      <c r="F1705" s="5" t="s">
        <v>14</v>
      </c>
      <c r="G1705" s="6">
        <v>34650</v>
      </c>
      <c r="H1705" s="1698" t="str">
        <f>HYPERLINK("https://adv-map.ru/place/?LINK=e51e268e26c68109aa70a3fd721cac82","Ссылка")</f>
        <v>Ссылка</v>
      </c>
      <c r="I1705" s="5" t="s">
        <v>1736</v>
      </c>
    </row>
    <row r="1706" spans="1:9" s="4" customFormat="1" ht="38.1" customHeight="1" outlineLevel="1" x14ac:dyDescent="0.2">
      <c r="A1706" s="5" t="s">
        <v>340</v>
      </c>
      <c r="B1706" s="5" t="s">
        <v>354</v>
      </c>
      <c r="C1706" s="5" t="s">
        <v>1735</v>
      </c>
      <c r="D1706" s="5" t="s">
        <v>12</v>
      </c>
      <c r="E1706" s="5" t="s">
        <v>13</v>
      </c>
      <c r="F1706" s="5" t="s">
        <v>16</v>
      </c>
      <c r="G1706" s="6">
        <v>25200</v>
      </c>
      <c r="H1706" s="1699" t="str">
        <f>HYPERLINK("https://adv-map.ru/place/?LINK=bb1a43c64365551cb1fcc11d20f96704","Ссылка")</f>
        <v>Ссылка</v>
      </c>
      <c r="I1706" s="5" t="s">
        <v>1736</v>
      </c>
    </row>
    <row r="1707" spans="1:9" s="4" customFormat="1" ht="38.1" customHeight="1" outlineLevel="1" x14ac:dyDescent="0.2">
      <c r="A1707" s="5" t="s">
        <v>340</v>
      </c>
      <c r="B1707" s="5" t="s">
        <v>354</v>
      </c>
      <c r="C1707" s="5" t="s">
        <v>1737</v>
      </c>
      <c r="D1707" s="5" t="s">
        <v>12</v>
      </c>
      <c r="E1707" s="5" t="s">
        <v>13</v>
      </c>
      <c r="F1707" s="5" t="s">
        <v>14</v>
      </c>
      <c r="G1707" s="6">
        <v>34650</v>
      </c>
      <c r="H1707" s="1700" t="str">
        <f>HYPERLINK("https://adv-map.ru/place/?LINK=44f2ccabf4b99ae89b881eb4974dac7b","Ссылка")</f>
        <v>Ссылка</v>
      </c>
      <c r="I1707" s="5" t="s">
        <v>1738</v>
      </c>
    </row>
    <row r="1708" spans="1:9" s="4" customFormat="1" ht="38.1" customHeight="1" outlineLevel="1" x14ac:dyDescent="0.2">
      <c r="A1708" s="5" t="s">
        <v>340</v>
      </c>
      <c r="B1708" s="5" t="s">
        <v>354</v>
      </c>
      <c r="C1708" s="5" t="s">
        <v>1737</v>
      </c>
      <c r="D1708" s="5" t="s">
        <v>12</v>
      </c>
      <c r="E1708" s="5" t="s">
        <v>13</v>
      </c>
      <c r="F1708" s="5" t="s">
        <v>16</v>
      </c>
      <c r="G1708" s="6">
        <v>25200</v>
      </c>
      <c r="H1708" s="1701" t="str">
        <f>HYPERLINK("https://adv-map.ru/place/?LINK=003d2535b30d049817b85831302cf8d8","Ссылка")</f>
        <v>Ссылка</v>
      </c>
      <c r="I1708" s="5" t="s">
        <v>1738</v>
      </c>
    </row>
    <row r="1709" spans="1:9" s="4" customFormat="1" ht="38.1" customHeight="1" outlineLevel="1" x14ac:dyDescent="0.2">
      <c r="A1709" s="5" t="s">
        <v>340</v>
      </c>
      <c r="B1709" s="5" t="s">
        <v>345</v>
      </c>
      <c r="C1709" s="5" t="s">
        <v>1739</v>
      </c>
      <c r="D1709" s="5" t="s">
        <v>347</v>
      </c>
      <c r="E1709" s="5" t="s">
        <v>348</v>
      </c>
      <c r="F1709" s="5" t="s">
        <v>14</v>
      </c>
      <c r="G1709" s="6">
        <v>22680</v>
      </c>
      <c r="H1709" s="1702" t="str">
        <f>HYPERLINK("https://adv-map.ru/place/?LINK=4ca66bafe244191e23273d7348fe8469","Ссылка")</f>
        <v>Ссылка</v>
      </c>
      <c r="I1709" s="5" t="s">
        <v>1740</v>
      </c>
    </row>
    <row r="1710" spans="1:9" s="4" customFormat="1" ht="38.1" customHeight="1" outlineLevel="1" x14ac:dyDescent="0.2">
      <c r="A1710" s="5" t="s">
        <v>340</v>
      </c>
      <c r="B1710" s="5" t="s">
        <v>345</v>
      </c>
      <c r="C1710" s="5" t="s">
        <v>1739</v>
      </c>
      <c r="D1710" s="5" t="s">
        <v>347</v>
      </c>
      <c r="E1710" s="5" t="s">
        <v>348</v>
      </c>
      <c r="F1710" s="5" t="s">
        <v>16</v>
      </c>
      <c r="G1710" s="6">
        <v>17640</v>
      </c>
      <c r="H1710" s="1703" t="str">
        <f>HYPERLINK("https://adv-map.ru/place/?LINK=a7e1d1fa7581b2eb153e0b10e06e4c71","Ссылка")</f>
        <v>Ссылка</v>
      </c>
      <c r="I1710" s="5" t="s">
        <v>1740</v>
      </c>
    </row>
    <row r="1711" spans="1:9" s="4" customFormat="1" ht="38.1" customHeight="1" outlineLevel="1" x14ac:dyDescent="0.2">
      <c r="A1711" s="5" t="s">
        <v>340</v>
      </c>
      <c r="B1711" s="5" t="s">
        <v>345</v>
      </c>
      <c r="C1711" s="5" t="s">
        <v>1741</v>
      </c>
      <c r="D1711" s="5" t="s">
        <v>347</v>
      </c>
      <c r="E1711" s="5" t="s">
        <v>348</v>
      </c>
      <c r="F1711" s="5" t="s">
        <v>14</v>
      </c>
      <c r="G1711" s="6">
        <v>22680</v>
      </c>
      <c r="H1711" s="1704" t="str">
        <f>HYPERLINK("https://adv-map.ru/place/?LINK=33447d834296ede1e8e96731a54eb9f8","Ссылка")</f>
        <v>Ссылка</v>
      </c>
      <c r="I1711" s="5" t="s">
        <v>1742</v>
      </c>
    </row>
    <row r="1712" spans="1:9" s="4" customFormat="1" ht="38.1" customHeight="1" outlineLevel="1" x14ac:dyDescent="0.2">
      <c r="A1712" s="5" t="s">
        <v>340</v>
      </c>
      <c r="B1712" s="5" t="s">
        <v>345</v>
      </c>
      <c r="C1712" s="5" t="s">
        <v>1741</v>
      </c>
      <c r="D1712" s="5" t="s">
        <v>347</v>
      </c>
      <c r="E1712" s="5" t="s">
        <v>348</v>
      </c>
      <c r="F1712" s="5" t="s">
        <v>16</v>
      </c>
      <c r="G1712" s="6">
        <v>17640</v>
      </c>
      <c r="H1712" s="1705" t="str">
        <f>HYPERLINK("https://adv-map.ru/place/?LINK=b087d91b919c0dc5333ac664e2a0c69a","Ссылка")</f>
        <v>Ссылка</v>
      </c>
      <c r="I1712" s="5" t="s">
        <v>1742</v>
      </c>
    </row>
    <row r="1713" spans="1:9" s="4" customFormat="1" ht="38.1" customHeight="1" outlineLevel="1" x14ac:dyDescent="0.2">
      <c r="A1713" s="5" t="s">
        <v>340</v>
      </c>
      <c r="B1713" s="5" t="s">
        <v>345</v>
      </c>
      <c r="C1713" s="5" t="s">
        <v>1743</v>
      </c>
      <c r="D1713" s="5" t="s">
        <v>347</v>
      </c>
      <c r="E1713" s="5" t="s">
        <v>348</v>
      </c>
      <c r="F1713" s="5" t="s">
        <v>14</v>
      </c>
      <c r="G1713" s="6">
        <v>22680</v>
      </c>
      <c r="H1713" s="1706" t="str">
        <f>HYPERLINK("https://adv-map.ru/place/?LINK=3acef2fb8bc4957564dbc22f3dc9de9a","Ссылка")</f>
        <v>Ссылка</v>
      </c>
      <c r="I1713" s="5" t="s">
        <v>1744</v>
      </c>
    </row>
    <row r="1714" spans="1:9" s="4" customFormat="1" ht="38.1" customHeight="1" outlineLevel="1" x14ac:dyDescent="0.2">
      <c r="A1714" s="5" t="s">
        <v>340</v>
      </c>
      <c r="B1714" s="5" t="s">
        <v>345</v>
      </c>
      <c r="C1714" s="5" t="s">
        <v>1743</v>
      </c>
      <c r="D1714" s="5" t="s">
        <v>347</v>
      </c>
      <c r="E1714" s="5" t="s">
        <v>348</v>
      </c>
      <c r="F1714" s="5" t="s">
        <v>16</v>
      </c>
      <c r="G1714" s="6">
        <v>17640</v>
      </c>
      <c r="H1714" s="1707" t="str">
        <f>HYPERLINK("https://adv-map.ru/place/?LINK=f655380c630676b923b005b1ddf99fda","Ссылка")</f>
        <v>Ссылка</v>
      </c>
      <c r="I1714" s="5" t="s">
        <v>1744</v>
      </c>
    </row>
    <row r="1715" spans="1:9" s="4" customFormat="1" ht="38.1" customHeight="1" outlineLevel="1" x14ac:dyDescent="0.2">
      <c r="A1715" s="5" t="s">
        <v>340</v>
      </c>
      <c r="B1715" s="5" t="s">
        <v>134</v>
      </c>
      <c r="C1715" s="5" t="s">
        <v>1745</v>
      </c>
      <c r="D1715" s="5" t="s">
        <v>347</v>
      </c>
      <c r="E1715" s="5" t="s">
        <v>348</v>
      </c>
      <c r="F1715" s="5" t="s">
        <v>14</v>
      </c>
      <c r="G1715" s="6">
        <v>25200</v>
      </c>
      <c r="H1715" s="1708" t="str">
        <f>HYPERLINK("https://adv-map.ru/place/?LINK=db1ed377e7b96a398494a19f80c2cb12","Ссылка")</f>
        <v>Ссылка</v>
      </c>
      <c r="I1715" s="5" t="s">
        <v>1746</v>
      </c>
    </row>
    <row r="1716" spans="1:9" s="4" customFormat="1" ht="38.1" customHeight="1" outlineLevel="1" x14ac:dyDescent="0.2">
      <c r="A1716" s="5" t="s">
        <v>340</v>
      </c>
      <c r="B1716" s="5" t="s">
        <v>134</v>
      </c>
      <c r="C1716" s="5" t="s">
        <v>1745</v>
      </c>
      <c r="D1716" s="5" t="s">
        <v>347</v>
      </c>
      <c r="E1716" s="5" t="s">
        <v>348</v>
      </c>
      <c r="F1716" s="5" t="s">
        <v>16</v>
      </c>
      <c r="G1716" s="6">
        <v>22680</v>
      </c>
      <c r="H1716" s="1709" t="str">
        <f>HYPERLINK("https://adv-map.ru/place/?LINK=32baac9185d6e055f743369f8f2d7911","Ссылка")</f>
        <v>Ссылка</v>
      </c>
      <c r="I1716" s="5" t="s">
        <v>1746</v>
      </c>
    </row>
    <row r="1717" spans="1:9" s="4" customFormat="1" ht="38.1" customHeight="1" outlineLevel="1" x14ac:dyDescent="0.2">
      <c r="A1717" s="5" t="s">
        <v>340</v>
      </c>
      <c r="B1717" s="5" t="s">
        <v>134</v>
      </c>
      <c r="C1717" s="5" t="s">
        <v>1747</v>
      </c>
      <c r="D1717" s="5" t="s">
        <v>405</v>
      </c>
      <c r="E1717" s="5" t="s">
        <v>348</v>
      </c>
      <c r="F1717" s="5" t="s">
        <v>14</v>
      </c>
      <c r="G1717" s="6">
        <v>25200</v>
      </c>
      <c r="H1717" s="1710" t="str">
        <f>HYPERLINK("https://adv-map.ru/place/?LINK=7957bc32b7234473ffed751b88deb2ac","Ссылка")</f>
        <v>Ссылка</v>
      </c>
      <c r="I1717" s="5" t="s">
        <v>1748</v>
      </c>
    </row>
    <row r="1718" spans="1:9" s="4" customFormat="1" ht="38.1" customHeight="1" outlineLevel="1" x14ac:dyDescent="0.2">
      <c r="A1718" s="5" t="s">
        <v>340</v>
      </c>
      <c r="B1718" s="5" t="s">
        <v>134</v>
      </c>
      <c r="C1718" s="5" t="s">
        <v>1747</v>
      </c>
      <c r="D1718" s="5" t="s">
        <v>405</v>
      </c>
      <c r="E1718" s="5" t="s">
        <v>348</v>
      </c>
      <c r="F1718" s="5" t="s">
        <v>16</v>
      </c>
      <c r="G1718" s="6">
        <v>22680</v>
      </c>
      <c r="H1718" s="1711" t="str">
        <f>HYPERLINK("https://adv-map.ru/place/?LINK=c66b6b593d7040db6c16715b467402fe","Ссылка")</f>
        <v>Ссылка</v>
      </c>
      <c r="I1718" s="5" t="s">
        <v>1748</v>
      </c>
    </row>
    <row r="1719" spans="1:9" s="4" customFormat="1" ht="38.1" customHeight="1" outlineLevel="1" x14ac:dyDescent="0.2">
      <c r="A1719" s="5" t="s">
        <v>340</v>
      </c>
      <c r="B1719" s="5" t="s">
        <v>134</v>
      </c>
      <c r="C1719" s="5" t="s">
        <v>1749</v>
      </c>
      <c r="D1719" s="5" t="s">
        <v>347</v>
      </c>
      <c r="E1719" s="5" t="s">
        <v>348</v>
      </c>
      <c r="F1719" s="5" t="s">
        <v>14</v>
      </c>
      <c r="G1719" s="6">
        <v>25200</v>
      </c>
      <c r="H1719" s="1712" t="str">
        <f>HYPERLINK("https://adv-map.ru/place/?LINK=275ec0cf041ee070487db2b51e417b5b","Ссылка")</f>
        <v>Ссылка</v>
      </c>
      <c r="I1719" s="5" t="s">
        <v>1750</v>
      </c>
    </row>
    <row r="1720" spans="1:9" s="4" customFormat="1" ht="38.1" customHeight="1" outlineLevel="1" x14ac:dyDescent="0.2">
      <c r="A1720" s="5" t="s">
        <v>340</v>
      </c>
      <c r="B1720" s="5" t="s">
        <v>134</v>
      </c>
      <c r="C1720" s="5" t="s">
        <v>1749</v>
      </c>
      <c r="D1720" s="5" t="s">
        <v>347</v>
      </c>
      <c r="E1720" s="5" t="s">
        <v>348</v>
      </c>
      <c r="F1720" s="5" t="s">
        <v>16</v>
      </c>
      <c r="G1720" s="6">
        <v>22680</v>
      </c>
      <c r="H1720" s="1713" t="str">
        <f>HYPERLINK("https://adv-map.ru/place/?LINK=2a15a43cb5b12008fd4577b3645f997a","Ссылка")</f>
        <v>Ссылка</v>
      </c>
      <c r="I1720" s="5" t="s">
        <v>1750</v>
      </c>
    </row>
    <row r="1721" spans="1:9" s="4" customFormat="1" ht="38.1" customHeight="1" outlineLevel="1" x14ac:dyDescent="0.2">
      <c r="A1721" s="5" t="s">
        <v>340</v>
      </c>
      <c r="B1721" s="5" t="s">
        <v>134</v>
      </c>
      <c r="C1721" s="5" t="s">
        <v>1751</v>
      </c>
      <c r="D1721" s="5" t="s">
        <v>347</v>
      </c>
      <c r="E1721" s="5" t="s">
        <v>348</v>
      </c>
      <c r="F1721" s="5" t="s">
        <v>14</v>
      </c>
      <c r="G1721" s="6">
        <v>25200</v>
      </c>
      <c r="H1721" s="1714" t="str">
        <f>HYPERLINK("https://adv-map.ru/place/?LINK=70bbd95a72df76d580c317a31f008346","Ссылка")</f>
        <v>Ссылка</v>
      </c>
      <c r="I1721" s="5" t="s">
        <v>1752</v>
      </c>
    </row>
    <row r="1722" spans="1:9" s="4" customFormat="1" ht="38.1" customHeight="1" outlineLevel="1" x14ac:dyDescent="0.2">
      <c r="A1722" s="5" t="s">
        <v>340</v>
      </c>
      <c r="B1722" s="5" t="s">
        <v>134</v>
      </c>
      <c r="C1722" s="5" t="s">
        <v>1751</v>
      </c>
      <c r="D1722" s="5" t="s">
        <v>347</v>
      </c>
      <c r="E1722" s="5" t="s">
        <v>348</v>
      </c>
      <c r="F1722" s="5" t="s">
        <v>16</v>
      </c>
      <c r="G1722" s="6">
        <v>22680</v>
      </c>
      <c r="H1722" s="1715" t="str">
        <f>HYPERLINK("https://adv-map.ru/place/?LINK=7b44f42326943b160f9bf0dd0c2f8e25","Ссылка")</f>
        <v>Ссылка</v>
      </c>
      <c r="I1722" s="5" t="s">
        <v>1753</v>
      </c>
    </row>
    <row r="1723" spans="1:9" s="4" customFormat="1" ht="38.1" customHeight="1" outlineLevel="1" x14ac:dyDescent="0.2">
      <c r="A1723" s="5" t="s">
        <v>340</v>
      </c>
      <c r="B1723" s="5" t="s">
        <v>134</v>
      </c>
      <c r="C1723" s="5" t="s">
        <v>1754</v>
      </c>
      <c r="D1723" s="5" t="s">
        <v>347</v>
      </c>
      <c r="E1723" s="5" t="s">
        <v>348</v>
      </c>
      <c r="F1723" s="5" t="s">
        <v>14</v>
      </c>
      <c r="G1723" s="6">
        <v>25200</v>
      </c>
      <c r="H1723" s="1716" t="str">
        <f>HYPERLINK("https://adv-map.ru/place/?LINK=3b48f21074b81feb02361968fe01d34f","Ссылка")</f>
        <v>Ссылка</v>
      </c>
      <c r="I1723" s="5"/>
    </row>
    <row r="1724" spans="1:9" s="4" customFormat="1" ht="38.1" customHeight="1" outlineLevel="1" x14ac:dyDescent="0.2">
      <c r="A1724" s="5" t="s">
        <v>340</v>
      </c>
      <c r="B1724" s="5" t="s">
        <v>134</v>
      </c>
      <c r="C1724" s="5" t="s">
        <v>1754</v>
      </c>
      <c r="D1724" s="5" t="s">
        <v>347</v>
      </c>
      <c r="E1724" s="5" t="s">
        <v>348</v>
      </c>
      <c r="F1724" s="5" t="s">
        <v>16</v>
      </c>
      <c r="G1724" s="6">
        <v>22680</v>
      </c>
      <c r="H1724" s="1717" t="str">
        <f>HYPERLINK("https://adv-map.ru/place/?LINK=5312efe33c96e2ea7e0ad5330c633838","Ссылка")</f>
        <v>Ссылка</v>
      </c>
      <c r="I1724" s="5" t="s">
        <v>1755</v>
      </c>
    </row>
    <row r="1725" spans="1:9" s="4" customFormat="1" ht="38.1" customHeight="1" outlineLevel="1" x14ac:dyDescent="0.2">
      <c r="A1725" s="5" t="s">
        <v>340</v>
      </c>
      <c r="B1725" s="5" t="s">
        <v>365</v>
      </c>
      <c r="C1725" s="5" t="s">
        <v>1756</v>
      </c>
      <c r="D1725" s="5" t="s">
        <v>12</v>
      </c>
      <c r="E1725" s="5" t="s">
        <v>13</v>
      </c>
      <c r="F1725" s="5" t="s">
        <v>14</v>
      </c>
      <c r="G1725" s="6">
        <v>44100</v>
      </c>
      <c r="H1725" s="1718" t="str">
        <f>HYPERLINK("https://adv-map.ru/place/?LINK=1dee4c0eb0b78c3e87c5a45f41e810f1","Ссылка")</f>
        <v>Ссылка</v>
      </c>
      <c r="I1725" s="5" t="s">
        <v>1757</v>
      </c>
    </row>
    <row r="1726" spans="1:9" s="4" customFormat="1" ht="38.1" customHeight="1" outlineLevel="1" x14ac:dyDescent="0.2">
      <c r="A1726" s="5" t="s">
        <v>340</v>
      </c>
      <c r="B1726" s="5" t="s">
        <v>365</v>
      </c>
      <c r="C1726" s="5" t="s">
        <v>1756</v>
      </c>
      <c r="D1726" s="5" t="s">
        <v>12</v>
      </c>
      <c r="E1726" s="5" t="s">
        <v>13</v>
      </c>
      <c r="F1726" s="5" t="s">
        <v>16</v>
      </c>
      <c r="G1726" s="6">
        <v>31500</v>
      </c>
      <c r="H1726" s="1719" t="str">
        <f>HYPERLINK("https://adv-map.ru/place/?LINK=91bc317e796c2f0f8d4c65a2e9f06843","Ссылка")</f>
        <v>Ссылка</v>
      </c>
      <c r="I1726" s="5" t="s">
        <v>1757</v>
      </c>
    </row>
    <row r="1727" spans="1:9" s="4" customFormat="1" ht="38.1" customHeight="1" outlineLevel="1" x14ac:dyDescent="0.2">
      <c r="A1727" s="5" t="s">
        <v>340</v>
      </c>
      <c r="B1727" s="5" t="s">
        <v>365</v>
      </c>
      <c r="C1727" s="5" t="s">
        <v>1758</v>
      </c>
      <c r="D1727" s="5" t="s">
        <v>347</v>
      </c>
      <c r="E1727" s="5" t="s">
        <v>348</v>
      </c>
      <c r="F1727" s="5" t="s">
        <v>14</v>
      </c>
      <c r="G1727" s="6">
        <v>22680</v>
      </c>
      <c r="H1727" s="1720" t="str">
        <f>HYPERLINK("https://adv-map.ru/place/?LINK=7a655397224030c5d626344e65c57be8","Ссылка")</f>
        <v>Ссылка</v>
      </c>
      <c r="I1727" s="5" t="s">
        <v>1759</v>
      </c>
    </row>
    <row r="1728" spans="1:9" s="4" customFormat="1" ht="38.1" customHeight="1" outlineLevel="1" x14ac:dyDescent="0.2">
      <c r="A1728" s="5" t="s">
        <v>340</v>
      </c>
      <c r="B1728" s="5" t="s">
        <v>365</v>
      </c>
      <c r="C1728" s="5" t="s">
        <v>1758</v>
      </c>
      <c r="D1728" s="5" t="s">
        <v>347</v>
      </c>
      <c r="E1728" s="5" t="s">
        <v>348</v>
      </c>
      <c r="F1728" s="5" t="s">
        <v>16</v>
      </c>
      <c r="G1728" s="6">
        <v>17640</v>
      </c>
      <c r="H1728" s="1721" t="str">
        <f>HYPERLINK("https://adv-map.ru/place/?LINK=f89f0e30ad851be5a3114398c478bc21","Ссылка")</f>
        <v>Ссылка</v>
      </c>
      <c r="I1728" s="5" t="s">
        <v>1760</v>
      </c>
    </row>
    <row r="1729" spans="1:9" s="4" customFormat="1" ht="38.1" customHeight="1" outlineLevel="1" x14ac:dyDescent="0.2">
      <c r="A1729" s="5" t="s">
        <v>340</v>
      </c>
      <c r="B1729" s="5" t="s">
        <v>365</v>
      </c>
      <c r="C1729" s="5" t="s">
        <v>1761</v>
      </c>
      <c r="D1729" s="5" t="s">
        <v>347</v>
      </c>
      <c r="E1729" s="5" t="s">
        <v>348</v>
      </c>
      <c r="F1729" s="5" t="s">
        <v>14</v>
      </c>
      <c r="G1729" s="6">
        <v>22680</v>
      </c>
      <c r="H1729" s="1722" t="str">
        <f>HYPERLINK("https://adv-map.ru/place/?LINK=dbd1c8d0539869ab7e5f718328379581","Ссылка")</f>
        <v>Ссылка</v>
      </c>
      <c r="I1729" s="5" t="s">
        <v>1762</v>
      </c>
    </row>
    <row r="1730" spans="1:9" s="4" customFormat="1" ht="38.1" customHeight="1" outlineLevel="1" x14ac:dyDescent="0.2">
      <c r="A1730" s="5" t="s">
        <v>340</v>
      </c>
      <c r="B1730" s="5" t="s">
        <v>365</v>
      </c>
      <c r="C1730" s="5" t="s">
        <v>1761</v>
      </c>
      <c r="D1730" s="5" t="s">
        <v>347</v>
      </c>
      <c r="E1730" s="5" t="s">
        <v>348</v>
      </c>
      <c r="F1730" s="5" t="s">
        <v>16</v>
      </c>
      <c r="G1730" s="6">
        <v>17640</v>
      </c>
      <c r="H1730" s="1723" t="str">
        <f>HYPERLINK("https://adv-map.ru/place/?LINK=6a9ab72f4c829ad1eac9c557c114d739","Ссылка")</f>
        <v>Ссылка</v>
      </c>
      <c r="I1730" s="5" t="s">
        <v>1762</v>
      </c>
    </row>
    <row r="1731" spans="1:9" s="4" customFormat="1" ht="38.1" customHeight="1" outlineLevel="1" x14ac:dyDescent="0.2">
      <c r="A1731" s="5" t="s">
        <v>340</v>
      </c>
      <c r="B1731" s="5" t="s">
        <v>365</v>
      </c>
      <c r="C1731" s="5" t="s">
        <v>1763</v>
      </c>
      <c r="D1731" s="5" t="s">
        <v>12</v>
      </c>
      <c r="E1731" s="5" t="s">
        <v>13</v>
      </c>
      <c r="F1731" s="5" t="s">
        <v>14</v>
      </c>
      <c r="G1731" s="6">
        <v>25200</v>
      </c>
      <c r="H1731" s="1724" t="str">
        <f>HYPERLINK("https://adv-map.ru/place/?LINK=ceaa01325040e2ce03aa82047e243bcd","Ссылка")</f>
        <v>Ссылка</v>
      </c>
      <c r="I1731" s="5" t="s">
        <v>1764</v>
      </c>
    </row>
    <row r="1732" spans="1:9" s="4" customFormat="1" ht="38.1" customHeight="1" outlineLevel="1" x14ac:dyDescent="0.2">
      <c r="A1732" s="5" t="s">
        <v>340</v>
      </c>
      <c r="B1732" s="5" t="s">
        <v>365</v>
      </c>
      <c r="C1732" s="5" t="s">
        <v>1763</v>
      </c>
      <c r="D1732" s="5" t="s">
        <v>12</v>
      </c>
      <c r="E1732" s="5" t="s">
        <v>13</v>
      </c>
      <c r="F1732" s="5" t="s">
        <v>16</v>
      </c>
      <c r="G1732" s="6">
        <v>37800</v>
      </c>
      <c r="H1732" s="1725" t="str">
        <f>HYPERLINK("https://adv-map.ru/place/?LINK=9bb684df698ddc4139098b9738030019","Ссылка")</f>
        <v>Ссылка</v>
      </c>
      <c r="I1732" s="5" t="s">
        <v>1764</v>
      </c>
    </row>
    <row r="1733" spans="1:9" s="4" customFormat="1" ht="51" customHeight="1" outlineLevel="1" x14ac:dyDescent="0.2">
      <c r="A1733" s="5" t="s">
        <v>340</v>
      </c>
      <c r="B1733" s="5" t="s">
        <v>365</v>
      </c>
      <c r="C1733" s="5" t="s">
        <v>1765</v>
      </c>
      <c r="D1733" s="5" t="s">
        <v>347</v>
      </c>
      <c r="E1733" s="5" t="s">
        <v>348</v>
      </c>
      <c r="F1733" s="5" t="s">
        <v>14</v>
      </c>
      <c r="G1733" s="6">
        <v>22680</v>
      </c>
      <c r="H1733" s="1726" t="str">
        <f>HYPERLINK("https://adv-map.ru/place/?LINK=713a621efae33dea8e7b4d85a0d1de78","Ссылка")</f>
        <v>Ссылка</v>
      </c>
      <c r="I1733" s="5" t="s">
        <v>1766</v>
      </c>
    </row>
    <row r="1734" spans="1:9" s="4" customFormat="1" ht="38.1" customHeight="1" outlineLevel="1" x14ac:dyDescent="0.2">
      <c r="A1734" s="5" t="s">
        <v>340</v>
      </c>
      <c r="B1734" s="5" t="s">
        <v>365</v>
      </c>
      <c r="C1734" s="5" t="s">
        <v>1765</v>
      </c>
      <c r="D1734" s="5" t="s">
        <v>347</v>
      </c>
      <c r="E1734" s="5" t="s">
        <v>348</v>
      </c>
      <c r="F1734" s="5" t="s">
        <v>16</v>
      </c>
      <c r="G1734" s="6">
        <v>17640</v>
      </c>
      <c r="H1734" s="1727" t="str">
        <f>HYPERLINK("https://adv-map.ru/place/?LINK=3bdcb64f160dc51cb0ea7447fd90140f","Ссылка")</f>
        <v>Ссылка</v>
      </c>
      <c r="I1734" s="5" t="s">
        <v>1766</v>
      </c>
    </row>
    <row r="1735" spans="1:9" s="4" customFormat="1" ht="38.1" customHeight="1" outlineLevel="1" x14ac:dyDescent="0.2">
      <c r="A1735" s="5" t="s">
        <v>340</v>
      </c>
      <c r="B1735" s="5" t="s">
        <v>365</v>
      </c>
      <c r="C1735" s="5" t="s">
        <v>1767</v>
      </c>
      <c r="D1735" s="5" t="s">
        <v>347</v>
      </c>
      <c r="E1735" s="5" t="s">
        <v>348</v>
      </c>
      <c r="F1735" s="5" t="s">
        <v>14</v>
      </c>
      <c r="G1735" s="6">
        <v>22680</v>
      </c>
      <c r="H1735" s="1728" t="str">
        <f>HYPERLINK("https://adv-map.ru/place/?LINK=baafadb6bdf6ec22f09a679c4890cb65","Ссылка")</f>
        <v>Ссылка</v>
      </c>
      <c r="I1735" s="5" t="s">
        <v>1768</v>
      </c>
    </row>
    <row r="1736" spans="1:9" s="4" customFormat="1" ht="38.1" customHeight="1" outlineLevel="1" x14ac:dyDescent="0.2">
      <c r="A1736" s="5" t="s">
        <v>340</v>
      </c>
      <c r="B1736" s="5" t="s">
        <v>365</v>
      </c>
      <c r="C1736" s="5" t="s">
        <v>1767</v>
      </c>
      <c r="D1736" s="5" t="s">
        <v>347</v>
      </c>
      <c r="E1736" s="5" t="s">
        <v>348</v>
      </c>
      <c r="F1736" s="5" t="s">
        <v>16</v>
      </c>
      <c r="G1736" s="6">
        <v>17640</v>
      </c>
      <c r="H1736" s="1729" t="str">
        <f>HYPERLINK("https://adv-map.ru/place/?LINK=325da8bde36975a80f3e258d98030437","Ссылка")</f>
        <v>Ссылка</v>
      </c>
      <c r="I1736" s="5" t="s">
        <v>1768</v>
      </c>
    </row>
    <row r="1737" spans="1:9" s="4" customFormat="1" ht="38.1" customHeight="1" outlineLevel="1" x14ac:dyDescent="0.2">
      <c r="A1737" s="5" t="s">
        <v>340</v>
      </c>
      <c r="B1737" s="5" t="s">
        <v>365</v>
      </c>
      <c r="C1737" s="5" t="s">
        <v>1769</v>
      </c>
      <c r="D1737" s="5" t="s">
        <v>347</v>
      </c>
      <c r="E1737" s="5" t="s">
        <v>348</v>
      </c>
      <c r="F1737" s="5" t="s">
        <v>14</v>
      </c>
      <c r="G1737" s="6">
        <v>22680</v>
      </c>
      <c r="H1737" s="1730" t="str">
        <f>HYPERLINK("https://adv-map.ru/place/?LINK=7351eebbc557867135e7521316fcc466","Ссылка")</f>
        <v>Ссылка</v>
      </c>
      <c r="I1737" s="5" t="s">
        <v>1770</v>
      </c>
    </row>
    <row r="1738" spans="1:9" s="4" customFormat="1" ht="38.1" customHeight="1" outlineLevel="1" x14ac:dyDescent="0.2">
      <c r="A1738" s="5" t="s">
        <v>340</v>
      </c>
      <c r="B1738" s="5" t="s">
        <v>365</v>
      </c>
      <c r="C1738" s="5" t="s">
        <v>1769</v>
      </c>
      <c r="D1738" s="5" t="s">
        <v>347</v>
      </c>
      <c r="E1738" s="5" t="s">
        <v>348</v>
      </c>
      <c r="F1738" s="5" t="s">
        <v>16</v>
      </c>
      <c r="G1738" s="6">
        <v>17640</v>
      </c>
      <c r="H1738" s="1731" t="str">
        <f>HYPERLINK("https://adv-map.ru/place/?LINK=09589d317816873b54e6b364fe5c2191","Ссылка")</f>
        <v>Ссылка</v>
      </c>
      <c r="I1738" s="5" t="s">
        <v>1771</v>
      </c>
    </row>
    <row r="1739" spans="1:9" s="4" customFormat="1" ht="38.1" customHeight="1" outlineLevel="1" x14ac:dyDescent="0.2">
      <c r="A1739" s="5" t="s">
        <v>340</v>
      </c>
      <c r="B1739" s="5" t="s">
        <v>365</v>
      </c>
      <c r="C1739" s="5" t="s">
        <v>1772</v>
      </c>
      <c r="D1739" s="5" t="s">
        <v>347</v>
      </c>
      <c r="E1739" s="5" t="s">
        <v>348</v>
      </c>
      <c r="F1739" s="5" t="s">
        <v>14</v>
      </c>
      <c r="G1739" s="6">
        <v>22680</v>
      </c>
      <c r="H1739" s="1732" t="str">
        <f>HYPERLINK("https://adv-map.ru/place/?LINK=4fbd23abcc0a4d8f69cfbfe919bbc7ed","Ссылка")</f>
        <v>Ссылка</v>
      </c>
      <c r="I1739" s="5" t="s">
        <v>1773</v>
      </c>
    </row>
    <row r="1740" spans="1:9" s="4" customFormat="1" ht="38.1" customHeight="1" outlineLevel="1" x14ac:dyDescent="0.2">
      <c r="A1740" s="5" t="s">
        <v>340</v>
      </c>
      <c r="B1740" s="5" t="s">
        <v>365</v>
      </c>
      <c r="C1740" s="5" t="s">
        <v>1772</v>
      </c>
      <c r="D1740" s="5" t="s">
        <v>347</v>
      </c>
      <c r="E1740" s="5" t="s">
        <v>348</v>
      </c>
      <c r="F1740" s="5" t="s">
        <v>16</v>
      </c>
      <c r="G1740" s="6">
        <v>17640</v>
      </c>
      <c r="H1740" s="1733" t="str">
        <f>HYPERLINK("https://adv-map.ru/place/?LINK=144d16d84620e587be2a96aa981526fd","Ссылка")</f>
        <v>Ссылка</v>
      </c>
      <c r="I1740" s="5" t="s">
        <v>1774</v>
      </c>
    </row>
    <row r="1741" spans="1:9" s="4" customFormat="1" ht="38.1" customHeight="1" outlineLevel="1" x14ac:dyDescent="0.2">
      <c r="A1741" s="5" t="s">
        <v>340</v>
      </c>
      <c r="B1741" s="5" t="s">
        <v>365</v>
      </c>
      <c r="C1741" s="5" t="s">
        <v>1775</v>
      </c>
      <c r="D1741" s="5" t="s">
        <v>347</v>
      </c>
      <c r="E1741" s="5" t="s">
        <v>348</v>
      </c>
      <c r="F1741" s="5" t="s">
        <v>14</v>
      </c>
      <c r="G1741" s="6">
        <v>22680</v>
      </c>
      <c r="H1741" s="1734" t="str">
        <f>HYPERLINK("https://adv-map.ru/place/?LINK=ff76b5a264470c3088c0e7170a67d38c","Ссылка")</f>
        <v>Ссылка</v>
      </c>
      <c r="I1741" s="5" t="s">
        <v>1776</v>
      </c>
    </row>
    <row r="1742" spans="1:9" s="4" customFormat="1" ht="38.1" customHeight="1" outlineLevel="1" x14ac:dyDescent="0.2">
      <c r="A1742" s="5" t="s">
        <v>340</v>
      </c>
      <c r="B1742" s="5" t="s">
        <v>365</v>
      </c>
      <c r="C1742" s="5" t="s">
        <v>1775</v>
      </c>
      <c r="D1742" s="5" t="s">
        <v>347</v>
      </c>
      <c r="E1742" s="5" t="s">
        <v>348</v>
      </c>
      <c r="F1742" s="5" t="s">
        <v>16</v>
      </c>
      <c r="G1742" s="6">
        <v>17640</v>
      </c>
      <c r="H1742" s="1735" t="str">
        <f>HYPERLINK("https://adv-map.ru/place/?LINK=69cf621e8656281f06977da44bc3c5a3","Ссылка")</f>
        <v>Ссылка</v>
      </c>
      <c r="I1742" s="5" t="s">
        <v>1777</v>
      </c>
    </row>
    <row r="1743" spans="1:9" s="4" customFormat="1" ht="51" customHeight="1" outlineLevel="1" x14ac:dyDescent="0.2">
      <c r="A1743" s="5" t="s">
        <v>340</v>
      </c>
      <c r="B1743" s="5" t="s">
        <v>365</v>
      </c>
      <c r="C1743" s="5" t="s">
        <v>1778</v>
      </c>
      <c r="D1743" s="5" t="s">
        <v>347</v>
      </c>
      <c r="E1743" s="5" t="s">
        <v>348</v>
      </c>
      <c r="F1743" s="5" t="s">
        <v>14</v>
      </c>
      <c r="G1743" s="6">
        <v>22680</v>
      </c>
      <c r="H1743" s="1736" t="str">
        <f>HYPERLINK("https://adv-map.ru/place/?LINK=4f90894a1389d919764ee42bb6ad7891","Ссылка")</f>
        <v>Ссылка</v>
      </c>
      <c r="I1743" s="5" t="s">
        <v>1779</v>
      </c>
    </row>
    <row r="1744" spans="1:9" s="4" customFormat="1" ht="38.1" customHeight="1" outlineLevel="1" x14ac:dyDescent="0.2">
      <c r="A1744" s="5" t="s">
        <v>340</v>
      </c>
      <c r="B1744" s="5" t="s">
        <v>365</v>
      </c>
      <c r="C1744" s="5" t="s">
        <v>1778</v>
      </c>
      <c r="D1744" s="5" t="s">
        <v>347</v>
      </c>
      <c r="E1744" s="5" t="s">
        <v>348</v>
      </c>
      <c r="F1744" s="5" t="s">
        <v>16</v>
      </c>
      <c r="G1744" s="6">
        <v>17640</v>
      </c>
      <c r="H1744" s="1737" t="str">
        <f>HYPERLINK("https://adv-map.ru/place/?LINK=9b62bf209947525fd69c5a9e1f392b41","Ссылка")</f>
        <v>Ссылка</v>
      </c>
      <c r="I1744" s="5" t="s">
        <v>1779</v>
      </c>
    </row>
    <row r="1745" spans="1:9" s="4" customFormat="1" ht="38.1" customHeight="1" outlineLevel="1" x14ac:dyDescent="0.2">
      <c r="A1745" s="5" t="s">
        <v>340</v>
      </c>
      <c r="B1745" s="5" t="s">
        <v>365</v>
      </c>
      <c r="C1745" s="5" t="s">
        <v>1780</v>
      </c>
      <c r="D1745" s="5" t="s">
        <v>12</v>
      </c>
      <c r="E1745" s="5" t="s">
        <v>13</v>
      </c>
      <c r="F1745" s="5" t="s">
        <v>14</v>
      </c>
      <c r="G1745" s="6">
        <v>37800</v>
      </c>
      <c r="H1745" s="1738" t="str">
        <f>HYPERLINK("https://adv-map.ru/place/?LINK=985be76eea0de7272fbd91fdf475e6ae","Ссылка")</f>
        <v>Ссылка</v>
      </c>
      <c r="I1745" s="5" t="s">
        <v>1781</v>
      </c>
    </row>
    <row r="1746" spans="1:9" s="4" customFormat="1" ht="38.1" customHeight="1" outlineLevel="1" x14ac:dyDescent="0.2">
      <c r="A1746" s="5" t="s">
        <v>340</v>
      </c>
      <c r="B1746" s="5" t="s">
        <v>365</v>
      </c>
      <c r="C1746" s="5" t="s">
        <v>1782</v>
      </c>
      <c r="D1746" s="5" t="s">
        <v>12</v>
      </c>
      <c r="E1746" s="5" t="s">
        <v>13</v>
      </c>
      <c r="F1746" s="5" t="s">
        <v>16</v>
      </c>
      <c r="G1746" s="6">
        <v>30240</v>
      </c>
      <c r="H1746" s="1739" t="str">
        <f>HYPERLINK("https://adv-map.ru/place/?LINK=bf28d1f6c824cca05587650ebcd26f99","Ссылка")</f>
        <v>Ссылка</v>
      </c>
      <c r="I1746" s="5" t="s">
        <v>1781</v>
      </c>
    </row>
    <row r="1747" spans="1:9" s="4" customFormat="1" ht="38.1" customHeight="1" outlineLevel="1" x14ac:dyDescent="0.2">
      <c r="A1747" s="5" t="s">
        <v>340</v>
      </c>
      <c r="B1747" s="5" t="s">
        <v>365</v>
      </c>
      <c r="C1747" s="5" t="s">
        <v>1783</v>
      </c>
      <c r="D1747" s="5" t="s">
        <v>347</v>
      </c>
      <c r="E1747" s="5" t="s">
        <v>348</v>
      </c>
      <c r="F1747" s="5" t="s">
        <v>14</v>
      </c>
      <c r="G1747" s="6">
        <v>22680</v>
      </c>
      <c r="H1747" s="1740" t="str">
        <f>HYPERLINK("https://adv-map.ru/place/?LINK=6022caa164e8b9a80df6c2ec55e3b222","Ссылка")</f>
        <v>Ссылка</v>
      </c>
      <c r="I1747" s="5" t="s">
        <v>1784</v>
      </c>
    </row>
    <row r="1748" spans="1:9" s="4" customFormat="1" ht="38.1" customHeight="1" outlineLevel="1" x14ac:dyDescent="0.2">
      <c r="A1748" s="5" t="s">
        <v>340</v>
      </c>
      <c r="B1748" s="5" t="s">
        <v>365</v>
      </c>
      <c r="C1748" s="5" t="s">
        <v>1783</v>
      </c>
      <c r="D1748" s="5" t="s">
        <v>347</v>
      </c>
      <c r="E1748" s="5" t="s">
        <v>348</v>
      </c>
      <c r="F1748" s="5" t="s">
        <v>16</v>
      </c>
      <c r="G1748" s="6">
        <v>17640</v>
      </c>
      <c r="H1748" s="1741" t="str">
        <f>HYPERLINK("https://adv-map.ru/place/?LINK=fec37bb9123af971e8313f35edad473a","Ссылка")</f>
        <v>Ссылка</v>
      </c>
      <c r="I1748" s="5" t="s">
        <v>1784</v>
      </c>
    </row>
    <row r="1749" spans="1:9" s="4" customFormat="1" ht="38.1" customHeight="1" outlineLevel="1" x14ac:dyDescent="0.2">
      <c r="A1749" s="5" t="s">
        <v>340</v>
      </c>
      <c r="B1749" s="5" t="s">
        <v>365</v>
      </c>
      <c r="C1749" s="5" t="s">
        <v>1785</v>
      </c>
      <c r="D1749" s="5" t="s">
        <v>347</v>
      </c>
      <c r="E1749" s="5" t="s">
        <v>348</v>
      </c>
      <c r="F1749" s="5" t="s">
        <v>14</v>
      </c>
      <c r="G1749" s="6">
        <v>22680</v>
      </c>
      <c r="H1749" s="1742" t="str">
        <f>HYPERLINK("https://adv-map.ru/place/?LINK=19ff4624580f1917124340ad8dd05419","Ссылка")</f>
        <v>Ссылка</v>
      </c>
      <c r="I1749" s="5" t="s">
        <v>1786</v>
      </c>
    </row>
    <row r="1750" spans="1:9" s="4" customFormat="1" ht="38.1" customHeight="1" outlineLevel="1" x14ac:dyDescent="0.2">
      <c r="A1750" s="5" t="s">
        <v>340</v>
      </c>
      <c r="B1750" s="5" t="s">
        <v>365</v>
      </c>
      <c r="C1750" s="5" t="s">
        <v>1785</v>
      </c>
      <c r="D1750" s="5" t="s">
        <v>347</v>
      </c>
      <c r="E1750" s="5" t="s">
        <v>348</v>
      </c>
      <c r="F1750" s="5" t="s">
        <v>16</v>
      </c>
      <c r="G1750" s="6">
        <v>17640</v>
      </c>
      <c r="H1750" s="1743" t="str">
        <f>HYPERLINK("https://adv-map.ru/place/?LINK=a2eefdb78b9059fab94c2f764049dcc2","Ссылка")</f>
        <v>Ссылка</v>
      </c>
      <c r="I1750" s="5" t="s">
        <v>1787</v>
      </c>
    </row>
    <row r="1751" spans="1:9" s="4" customFormat="1" ht="38.1" customHeight="1" outlineLevel="1" x14ac:dyDescent="0.2">
      <c r="A1751" s="5" t="s">
        <v>340</v>
      </c>
      <c r="B1751" s="5" t="s">
        <v>365</v>
      </c>
      <c r="C1751" s="5" t="s">
        <v>1788</v>
      </c>
      <c r="D1751" s="5" t="s">
        <v>12</v>
      </c>
      <c r="E1751" s="5" t="s">
        <v>13</v>
      </c>
      <c r="F1751" s="5" t="s">
        <v>14</v>
      </c>
      <c r="G1751" s="6">
        <v>37800</v>
      </c>
      <c r="H1751" s="1744" t="str">
        <f>HYPERLINK("https://adv-map.ru/place/?LINK=08f840fd417ed1389efc7ab77b38b7cf","Ссылка")</f>
        <v>Ссылка</v>
      </c>
      <c r="I1751" s="5" t="s">
        <v>1789</v>
      </c>
    </row>
    <row r="1752" spans="1:9" s="4" customFormat="1" ht="38.1" customHeight="1" outlineLevel="1" x14ac:dyDescent="0.2">
      <c r="A1752" s="5" t="s">
        <v>340</v>
      </c>
      <c r="B1752" s="5" t="s">
        <v>365</v>
      </c>
      <c r="C1752" s="5" t="s">
        <v>1790</v>
      </c>
      <c r="D1752" s="5" t="s">
        <v>12</v>
      </c>
      <c r="E1752" s="5" t="s">
        <v>13</v>
      </c>
      <c r="F1752" s="5" t="s">
        <v>16</v>
      </c>
      <c r="G1752" s="6">
        <v>31500</v>
      </c>
      <c r="H1752" s="1745" t="str">
        <f>HYPERLINK("https://adv-map.ru/place/?LINK=8bf775ffe5c0b1ddfa6b395cfa291e38","Ссылка")</f>
        <v>Ссылка</v>
      </c>
      <c r="I1752" s="5" t="s">
        <v>1789</v>
      </c>
    </row>
    <row r="1753" spans="1:9" s="4" customFormat="1" ht="38.1" customHeight="1" outlineLevel="1" x14ac:dyDescent="0.2">
      <c r="A1753" s="5" t="s">
        <v>340</v>
      </c>
      <c r="B1753" s="5" t="s">
        <v>365</v>
      </c>
      <c r="C1753" s="5" t="s">
        <v>1791</v>
      </c>
      <c r="D1753" s="5" t="s">
        <v>347</v>
      </c>
      <c r="E1753" s="5" t="s">
        <v>348</v>
      </c>
      <c r="F1753" s="5" t="s">
        <v>14</v>
      </c>
      <c r="G1753" s="6">
        <v>22680</v>
      </c>
      <c r="H1753" s="1746" t="str">
        <f>HYPERLINK("https://adv-map.ru/place/?LINK=6572a022a419545bf1c5b92208c8169c","Ссылка")</f>
        <v>Ссылка</v>
      </c>
      <c r="I1753" s="5" t="s">
        <v>1792</v>
      </c>
    </row>
    <row r="1754" spans="1:9" s="4" customFormat="1" ht="38.1" customHeight="1" outlineLevel="1" x14ac:dyDescent="0.2">
      <c r="A1754" s="5" t="s">
        <v>340</v>
      </c>
      <c r="B1754" s="5" t="s">
        <v>365</v>
      </c>
      <c r="C1754" s="5" t="s">
        <v>1791</v>
      </c>
      <c r="D1754" s="5" t="s">
        <v>347</v>
      </c>
      <c r="E1754" s="5" t="s">
        <v>348</v>
      </c>
      <c r="F1754" s="5" t="s">
        <v>16</v>
      </c>
      <c r="G1754" s="6">
        <v>17640</v>
      </c>
      <c r="H1754" s="1747" t="str">
        <f>HYPERLINK("https://adv-map.ru/place/?LINK=8b2f9c2e29c8e6bc301f61a2d887cb81","Ссылка")</f>
        <v>Ссылка</v>
      </c>
      <c r="I1754" s="5" t="s">
        <v>1792</v>
      </c>
    </row>
    <row r="1755" spans="1:9" s="4" customFormat="1" ht="38.1" customHeight="1" outlineLevel="1" x14ac:dyDescent="0.2">
      <c r="A1755" s="5" t="s">
        <v>340</v>
      </c>
      <c r="B1755" s="5" t="s">
        <v>365</v>
      </c>
      <c r="C1755" s="5" t="s">
        <v>1793</v>
      </c>
      <c r="D1755" s="5" t="s">
        <v>12</v>
      </c>
      <c r="E1755" s="5" t="s">
        <v>13</v>
      </c>
      <c r="F1755" s="5" t="s">
        <v>14</v>
      </c>
      <c r="G1755" s="6">
        <v>37800</v>
      </c>
      <c r="H1755" s="1748" t="str">
        <f>HYPERLINK("https://adv-map.ru/place/?LINK=d18a7fd64368b8b9db4efa5204705e35","Ссылка")</f>
        <v>Ссылка</v>
      </c>
      <c r="I1755" s="5" t="s">
        <v>1794</v>
      </c>
    </row>
    <row r="1756" spans="1:9" s="4" customFormat="1" ht="38.1" customHeight="1" outlineLevel="1" x14ac:dyDescent="0.2">
      <c r="A1756" s="5" t="s">
        <v>340</v>
      </c>
      <c r="B1756" s="5" t="s">
        <v>365</v>
      </c>
      <c r="C1756" s="5" t="s">
        <v>1793</v>
      </c>
      <c r="D1756" s="5" t="s">
        <v>12</v>
      </c>
      <c r="E1756" s="5" t="s">
        <v>13</v>
      </c>
      <c r="F1756" s="5" t="s">
        <v>16</v>
      </c>
      <c r="G1756" s="6">
        <v>35280</v>
      </c>
      <c r="H1756" s="1749" t="str">
        <f>HYPERLINK("https://adv-map.ru/place/?LINK=73f86f6948aa491cabb6e39a592da55b","Ссылка")</f>
        <v>Ссылка</v>
      </c>
      <c r="I1756" s="5" t="s">
        <v>1794</v>
      </c>
    </row>
    <row r="1757" spans="1:9" s="4" customFormat="1" ht="38.1" customHeight="1" outlineLevel="1" x14ac:dyDescent="0.2">
      <c r="A1757" s="5" t="s">
        <v>340</v>
      </c>
      <c r="B1757" s="5" t="s">
        <v>365</v>
      </c>
      <c r="C1757" s="5" t="s">
        <v>1795</v>
      </c>
      <c r="D1757" s="5" t="s">
        <v>12</v>
      </c>
      <c r="E1757" s="5" t="s">
        <v>13</v>
      </c>
      <c r="F1757" s="5" t="s">
        <v>16</v>
      </c>
      <c r="G1757" s="6">
        <v>35280</v>
      </c>
      <c r="H1757" s="1750" t="str">
        <f>HYPERLINK("https://adv-map.ru/place/?LINK=1140e5b800aa4502bfc5bc577f55d110","Ссылка")</f>
        <v>Ссылка</v>
      </c>
      <c r="I1757" s="5" t="s">
        <v>1796</v>
      </c>
    </row>
    <row r="1758" spans="1:9" s="4" customFormat="1" ht="38.1" customHeight="1" outlineLevel="1" x14ac:dyDescent="0.2">
      <c r="A1758" s="5" t="s">
        <v>340</v>
      </c>
      <c r="B1758" s="5" t="s">
        <v>365</v>
      </c>
      <c r="C1758" s="5" t="s">
        <v>1797</v>
      </c>
      <c r="D1758" s="5" t="s">
        <v>12</v>
      </c>
      <c r="E1758" s="5" t="s">
        <v>13</v>
      </c>
      <c r="F1758" s="5" t="s">
        <v>14</v>
      </c>
      <c r="G1758" s="6">
        <v>37800</v>
      </c>
      <c r="H1758" s="1751" t="str">
        <f>HYPERLINK("https://adv-map.ru/place/?LINK=e6f46ab6d82814e5317e89114971d2c9","Ссылка")</f>
        <v>Ссылка</v>
      </c>
      <c r="I1758" s="5" t="s">
        <v>1796</v>
      </c>
    </row>
    <row r="1759" spans="1:9" s="4" customFormat="1" ht="38.1" customHeight="1" outlineLevel="1" x14ac:dyDescent="0.2">
      <c r="A1759" s="5" t="s">
        <v>340</v>
      </c>
      <c r="B1759" s="5" t="s">
        <v>365</v>
      </c>
      <c r="C1759" s="5" t="s">
        <v>1798</v>
      </c>
      <c r="D1759" s="5" t="s">
        <v>347</v>
      </c>
      <c r="E1759" s="5" t="s">
        <v>348</v>
      </c>
      <c r="F1759" s="5" t="s">
        <v>14</v>
      </c>
      <c r="G1759" s="6">
        <v>22680</v>
      </c>
      <c r="H1759" s="1752" t="str">
        <f>HYPERLINK("https://adv-map.ru/place/?LINK=2bd89f543a6bce45e288a3e75ead1ebc","Ссылка")</f>
        <v>Ссылка</v>
      </c>
      <c r="I1759" s="5" t="s">
        <v>1799</v>
      </c>
    </row>
    <row r="1760" spans="1:9" s="4" customFormat="1" ht="38.1" customHeight="1" outlineLevel="1" x14ac:dyDescent="0.2">
      <c r="A1760" s="5" t="s">
        <v>340</v>
      </c>
      <c r="B1760" s="5" t="s">
        <v>365</v>
      </c>
      <c r="C1760" s="5" t="s">
        <v>1798</v>
      </c>
      <c r="D1760" s="5" t="s">
        <v>347</v>
      </c>
      <c r="E1760" s="5" t="s">
        <v>348</v>
      </c>
      <c r="F1760" s="5" t="s">
        <v>16</v>
      </c>
      <c r="G1760" s="6">
        <v>17640</v>
      </c>
      <c r="H1760" s="1753" t="str">
        <f>HYPERLINK("https://adv-map.ru/place/?LINK=19e547db30bcd5e236f168ac16abf548","Ссылка")</f>
        <v>Ссылка</v>
      </c>
      <c r="I1760" s="5" t="s">
        <v>1800</v>
      </c>
    </row>
    <row r="1761" spans="1:9" s="4" customFormat="1" ht="38.1" customHeight="1" outlineLevel="1" x14ac:dyDescent="0.2">
      <c r="A1761" s="5" t="s">
        <v>340</v>
      </c>
      <c r="B1761" s="5" t="s">
        <v>365</v>
      </c>
      <c r="C1761" s="5" t="s">
        <v>1801</v>
      </c>
      <c r="D1761" s="5" t="s">
        <v>12</v>
      </c>
      <c r="E1761" s="5" t="s">
        <v>13</v>
      </c>
      <c r="F1761" s="5" t="s">
        <v>14</v>
      </c>
      <c r="G1761" s="6">
        <v>35280</v>
      </c>
      <c r="H1761" s="1754" t="str">
        <f>HYPERLINK("https://adv-map.ru/place/?LINK=b6e47ded6a5d1e97f181bc5c3620273e","Ссылка")</f>
        <v>Ссылка</v>
      </c>
      <c r="I1761" s="5" t="s">
        <v>1802</v>
      </c>
    </row>
    <row r="1762" spans="1:9" s="4" customFormat="1" ht="38.1" customHeight="1" outlineLevel="1" x14ac:dyDescent="0.2">
      <c r="A1762" s="5" t="s">
        <v>340</v>
      </c>
      <c r="B1762" s="5" t="s">
        <v>365</v>
      </c>
      <c r="C1762" s="5" t="s">
        <v>1801</v>
      </c>
      <c r="D1762" s="5" t="s">
        <v>12</v>
      </c>
      <c r="E1762" s="5" t="s">
        <v>13</v>
      </c>
      <c r="F1762" s="5" t="s">
        <v>16</v>
      </c>
      <c r="G1762" s="6">
        <v>30240</v>
      </c>
      <c r="H1762" s="1755" t="str">
        <f>HYPERLINK("https://adv-map.ru/place/?LINK=92e5140420a9d6174541fb5dd4b7c4a3","Ссылка")</f>
        <v>Ссылка</v>
      </c>
      <c r="I1762" s="5" t="s">
        <v>1802</v>
      </c>
    </row>
    <row r="1763" spans="1:9" s="4" customFormat="1" ht="38.1" customHeight="1" outlineLevel="1" x14ac:dyDescent="0.2">
      <c r="A1763" s="5" t="s">
        <v>340</v>
      </c>
      <c r="B1763" s="5" t="s">
        <v>365</v>
      </c>
      <c r="C1763" s="5" t="s">
        <v>1803</v>
      </c>
      <c r="D1763" s="5" t="s">
        <v>347</v>
      </c>
      <c r="E1763" s="5" t="s">
        <v>348</v>
      </c>
      <c r="F1763" s="5" t="s">
        <v>14</v>
      </c>
      <c r="G1763" s="6">
        <v>22680</v>
      </c>
      <c r="H1763" s="1756" t="str">
        <f>HYPERLINK("https://adv-map.ru/place/?LINK=3bcabcfcb34f0c5ec4385a63fb598eb3","Ссылка")</f>
        <v>Ссылка</v>
      </c>
      <c r="I1763" s="5" t="s">
        <v>1804</v>
      </c>
    </row>
    <row r="1764" spans="1:9" s="4" customFormat="1" ht="38.1" customHeight="1" outlineLevel="1" x14ac:dyDescent="0.2">
      <c r="A1764" s="5" t="s">
        <v>340</v>
      </c>
      <c r="B1764" s="5" t="s">
        <v>365</v>
      </c>
      <c r="C1764" s="5" t="s">
        <v>1803</v>
      </c>
      <c r="D1764" s="5" t="s">
        <v>347</v>
      </c>
      <c r="E1764" s="5" t="s">
        <v>348</v>
      </c>
      <c r="F1764" s="5" t="s">
        <v>16</v>
      </c>
      <c r="G1764" s="6">
        <v>17640</v>
      </c>
      <c r="H1764" s="1757" t="str">
        <f>HYPERLINK("https://adv-map.ru/place/?LINK=2047cd3a022ba158161d9ad88c8ee755","Ссылка")</f>
        <v>Ссылка</v>
      </c>
      <c r="I1764" s="5" t="s">
        <v>1805</v>
      </c>
    </row>
    <row r="1765" spans="1:9" s="4" customFormat="1" ht="38.1" customHeight="1" outlineLevel="1" x14ac:dyDescent="0.2">
      <c r="A1765" s="5" t="s">
        <v>340</v>
      </c>
      <c r="B1765" s="5" t="s">
        <v>365</v>
      </c>
      <c r="C1765" s="5" t="s">
        <v>1806</v>
      </c>
      <c r="D1765" s="5" t="s">
        <v>347</v>
      </c>
      <c r="E1765" s="5" t="s">
        <v>348</v>
      </c>
      <c r="F1765" s="5" t="s">
        <v>14</v>
      </c>
      <c r="G1765" s="6">
        <v>22680</v>
      </c>
      <c r="H1765" s="1758" t="str">
        <f>HYPERLINK("https://adv-map.ru/place/?LINK=9a166c313aba4d4e60c7881ddf86067c","Ссылка")</f>
        <v>Ссылка</v>
      </c>
      <c r="I1765" s="5" t="s">
        <v>1807</v>
      </c>
    </row>
    <row r="1766" spans="1:9" s="4" customFormat="1" ht="38.1" customHeight="1" outlineLevel="1" x14ac:dyDescent="0.2">
      <c r="A1766" s="5" t="s">
        <v>340</v>
      </c>
      <c r="B1766" s="5" t="s">
        <v>365</v>
      </c>
      <c r="C1766" s="5" t="s">
        <v>1806</v>
      </c>
      <c r="D1766" s="5" t="s">
        <v>347</v>
      </c>
      <c r="E1766" s="5" t="s">
        <v>348</v>
      </c>
      <c r="F1766" s="5" t="s">
        <v>16</v>
      </c>
      <c r="G1766" s="6">
        <v>17640</v>
      </c>
      <c r="H1766" s="1759" t="str">
        <f>HYPERLINK("https://adv-map.ru/place/?LINK=69c2b64f5254e990ae997a2a21cfbf84","Ссылка")</f>
        <v>Ссылка</v>
      </c>
      <c r="I1766" s="5" t="s">
        <v>1808</v>
      </c>
    </row>
    <row r="1767" spans="1:9" s="4" customFormat="1" ht="38.1" customHeight="1" outlineLevel="1" x14ac:dyDescent="0.2">
      <c r="A1767" s="5" t="s">
        <v>340</v>
      </c>
      <c r="B1767" s="5" t="s">
        <v>365</v>
      </c>
      <c r="C1767" s="5" t="s">
        <v>1809</v>
      </c>
      <c r="D1767" s="5" t="s">
        <v>12</v>
      </c>
      <c r="E1767" s="5" t="s">
        <v>13</v>
      </c>
      <c r="F1767" s="5" t="s">
        <v>14</v>
      </c>
      <c r="G1767" s="6">
        <v>35280</v>
      </c>
      <c r="H1767" s="1760" t="str">
        <f>HYPERLINK("https://adv-map.ru/place/?LINK=a07c95973b0454510ec7f90271340643","Ссылка")</f>
        <v>Ссылка</v>
      </c>
      <c r="I1767" s="5" t="s">
        <v>1810</v>
      </c>
    </row>
    <row r="1768" spans="1:9" s="4" customFormat="1" ht="38.1" customHeight="1" outlineLevel="1" x14ac:dyDescent="0.2">
      <c r="A1768" s="5" t="s">
        <v>340</v>
      </c>
      <c r="B1768" s="5" t="s">
        <v>365</v>
      </c>
      <c r="C1768" s="5" t="s">
        <v>1811</v>
      </c>
      <c r="D1768" s="5" t="s">
        <v>12</v>
      </c>
      <c r="E1768" s="5" t="s">
        <v>13</v>
      </c>
      <c r="F1768" s="5" t="s">
        <v>16</v>
      </c>
      <c r="G1768" s="6">
        <v>30240</v>
      </c>
      <c r="H1768" s="1761" t="str">
        <f>HYPERLINK("https://adv-map.ru/place/?LINK=b338a4457b8802dc7178a35e9319ec1e","Ссылка")</f>
        <v>Ссылка</v>
      </c>
      <c r="I1768" s="5" t="s">
        <v>1810</v>
      </c>
    </row>
    <row r="1769" spans="1:9" s="4" customFormat="1" ht="38.1" customHeight="1" outlineLevel="1" x14ac:dyDescent="0.2">
      <c r="A1769" s="5" t="s">
        <v>340</v>
      </c>
      <c r="B1769" s="5" t="s">
        <v>365</v>
      </c>
      <c r="C1769" s="5" t="s">
        <v>1812</v>
      </c>
      <c r="D1769" s="5" t="s">
        <v>347</v>
      </c>
      <c r="E1769" s="5" t="s">
        <v>348</v>
      </c>
      <c r="F1769" s="5" t="s">
        <v>14</v>
      </c>
      <c r="G1769" s="6">
        <v>22680</v>
      </c>
      <c r="H1769" s="1762" t="str">
        <f>HYPERLINK("https://adv-map.ru/place/?LINK=7401d1cfc130ff6ac0449a3f96a4d89e","Ссылка")</f>
        <v>Ссылка</v>
      </c>
      <c r="I1769" s="5" t="s">
        <v>1813</v>
      </c>
    </row>
    <row r="1770" spans="1:9" s="4" customFormat="1" ht="38.1" customHeight="1" outlineLevel="1" x14ac:dyDescent="0.2">
      <c r="A1770" s="5" t="s">
        <v>340</v>
      </c>
      <c r="B1770" s="5" t="s">
        <v>365</v>
      </c>
      <c r="C1770" s="5" t="s">
        <v>1812</v>
      </c>
      <c r="D1770" s="5" t="s">
        <v>347</v>
      </c>
      <c r="E1770" s="5" t="s">
        <v>348</v>
      </c>
      <c r="F1770" s="5" t="s">
        <v>16</v>
      </c>
      <c r="G1770" s="6">
        <v>17640</v>
      </c>
      <c r="H1770" s="1763" t="str">
        <f>HYPERLINK("https://adv-map.ru/place/?LINK=f0dd005229fbf529867ce1203a44f5a9","Ссылка")</f>
        <v>Ссылка</v>
      </c>
      <c r="I1770" s="5" t="s">
        <v>1813</v>
      </c>
    </row>
    <row r="1771" spans="1:9" s="4" customFormat="1" ht="38.1" customHeight="1" outlineLevel="1" x14ac:dyDescent="0.2">
      <c r="A1771" s="5" t="s">
        <v>340</v>
      </c>
      <c r="B1771" s="5" t="s">
        <v>365</v>
      </c>
      <c r="C1771" s="5" t="s">
        <v>1814</v>
      </c>
      <c r="D1771" s="5" t="s">
        <v>12</v>
      </c>
      <c r="E1771" s="5" t="s">
        <v>13</v>
      </c>
      <c r="F1771" s="5" t="s">
        <v>14</v>
      </c>
      <c r="G1771" s="6">
        <v>45000</v>
      </c>
      <c r="H1771" s="1764" t="str">
        <f>HYPERLINK("https://adv-map.ru/place/?LINK=8760897e55c6e58c8ca87d7c0ccd89d9","Ссылка")</f>
        <v>Ссылка</v>
      </c>
      <c r="I1771" s="5" t="s">
        <v>1815</v>
      </c>
    </row>
    <row r="1772" spans="1:9" s="4" customFormat="1" ht="38.1" customHeight="1" outlineLevel="1" x14ac:dyDescent="0.2">
      <c r="A1772" s="5" t="s">
        <v>340</v>
      </c>
      <c r="B1772" s="5" t="s">
        <v>365</v>
      </c>
      <c r="C1772" s="5" t="s">
        <v>1814</v>
      </c>
      <c r="D1772" s="5" t="s">
        <v>12</v>
      </c>
      <c r="E1772" s="5" t="s">
        <v>13</v>
      </c>
      <c r="F1772" s="5" t="s">
        <v>16</v>
      </c>
      <c r="G1772" s="6">
        <v>38000</v>
      </c>
      <c r="H1772" s="1765" t="str">
        <f>HYPERLINK("https://adv-map.ru/place/?LINK=9bb7894a2ddfbf4b270429f7dee5b340","Ссылка")</f>
        <v>Ссылка</v>
      </c>
      <c r="I1772" s="5" t="s">
        <v>1815</v>
      </c>
    </row>
    <row r="1773" spans="1:9" s="4" customFormat="1" ht="38.1" customHeight="1" outlineLevel="1" x14ac:dyDescent="0.2">
      <c r="A1773" s="5" t="s">
        <v>340</v>
      </c>
      <c r="B1773" s="5" t="s">
        <v>365</v>
      </c>
      <c r="C1773" s="5" t="s">
        <v>1816</v>
      </c>
      <c r="D1773" s="5" t="s">
        <v>347</v>
      </c>
      <c r="E1773" s="5" t="s">
        <v>348</v>
      </c>
      <c r="F1773" s="5" t="s">
        <v>14</v>
      </c>
      <c r="G1773" s="6">
        <v>22680</v>
      </c>
      <c r="H1773" s="1766" t="str">
        <f>HYPERLINK("https://adv-map.ru/place/?LINK=2c8f4ae1b82d9286772aa20eb9b8006e","Ссылка")</f>
        <v>Ссылка</v>
      </c>
      <c r="I1773" s="5" t="s">
        <v>1817</v>
      </c>
    </row>
    <row r="1774" spans="1:9" s="4" customFormat="1" ht="38.1" customHeight="1" outlineLevel="1" x14ac:dyDescent="0.2">
      <c r="A1774" s="5" t="s">
        <v>340</v>
      </c>
      <c r="B1774" s="5" t="s">
        <v>365</v>
      </c>
      <c r="C1774" s="5" t="s">
        <v>1816</v>
      </c>
      <c r="D1774" s="5" t="s">
        <v>347</v>
      </c>
      <c r="E1774" s="5" t="s">
        <v>348</v>
      </c>
      <c r="F1774" s="5" t="s">
        <v>16</v>
      </c>
      <c r="G1774" s="6">
        <v>17640</v>
      </c>
      <c r="H1774" s="1767" t="str">
        <f>HYPERLINK("https://adv-map.ru/place/?LINK=b806efbb52f00351ca65bc211dd3515d","Ссылка")</f>
        <v>Ссылка</v>
      </c>
      <c r="I1774" s="5" t="s">
        <v>1818</v>
      </c>
    </row>
    <row r="1775" spans="1:9" s="4" customFormat="1" ht="38.1" customHeight="1" outlineLevel="1" x14ac:dyDescent="0.2">
      <c r="A1775" s="5" t="s">
        <v>340</v>
      </c>
      <c r="B1775" s="5" t="s">
        <v>365</v>
      </c>
      <c r="C1775" s="5" t="s">
        <v>1819</v>
      </c>
      <c r="D1775" s="5" t="s">
        <v>347</v>
      </c>
      <c r="E1775" s="5" t="s">
        <v>348</v>
      </c>
      <c r="F1775" s="5" t="s">
        <v>14</v>
      </c>
      <c r="G1775" s="6">
        <v>17640</v>
      </c>
      <c r="H1775" s="1768" t="str">
        <f>HYPERLINK("https://adv-map.ru/place/?LINK=4b84057418b3255192f0e814e1e3fada","Ссылка")</f>
        <v>Ссылка</v>
      </c>
      <c r="I1775" s="5" t="s">
        <v>1820</v>
      </c>
    </row>
    <row r="1776" spans="1:9" s="4" customFormat="1" ht="38.1" customHeight="1" outlineLevel="1" x14ac:dyDescent="0.2">
      <c r="A1776" s="5" t="s">
        <v>340</v>
      </c>
      <c r="B1776" s="5" t="s">
        <v>365</v>
      </c>
      <c r="C1776" s="5" t="s">
        <v>1819</v>
      </c>
      <c r="D1776" s="5" t="s">
        <v>347</v>
      </c>
      <c r="E1776" s="5" t="s">
        <v>348</v>
      </c>
      <c r="F1776" s="5" t="s">
        <v>16</v>
      </c>
      <c r="G1776" s="6">
        <v>22680</v>
      </c>
      <c r="H1776" s="1769" t="str">
        <f>HYPERLINK("https://adv-map.ru/place/?LINK=e41cdaa128051407913fa9f59218a3cc","Ссылка")</f>
        <v>Ссылка</v>
      </c>
      <c r="I1776" s="5" t="s">
        <v>1821</v>
      </c>
    </row>
    <row r="1777" spans="1:9" s="4" customFormat="1" ht="38.1" customHeight="1" outlineLevel="1" x14ac:dyDescent="0.2">
      <c r="A1777" s="5" t="s">
        <v>340</v>
      </c>
      <c r="B1777" s="5" t="s">
        <v>365</v>
      </c>
      <c r="C1777" s="5" t="s">
        <v>1822</v>
      </c>
      <c r="D1777" s="5" t="s">
        <v>347</v>
      </c>
      <c r="E1777" s="5" t="s">
        <v>348</v>
      </c>
      <c r="F1777" s="5" t="s">
        <v>14</v>
      </c>
      <c r="G1777" s="6">
        <v>22680</v>
      </c>
      <c r="H1777" s="1770" t="str">
        <f>HYPERLINK("https://adv-map.ru/place/?LINK=2d7bb0b8948171924d98d79c6afd22f0","Ссылка")</f>
        <v>Ссылка</v>
      </c>
      <c r="I1777" s="5" t="s">
        <v>1823</v>
      </c>
    </row>
    <row r="1778" spans="1:9" s="4" customFormat="1" ht="38.1" customHeight="1" outlineLevel="1" x14ac:dyDescent="0.2">
      <c r="A1778" s="5" t="s">
        <v>340</v>
      </c>
      <c r="B1778" s="5" t="s">
        <v>365</v>
      </c>
      <c r="C1778" s="5" t="s">
        <v>1822</v>
      </c>
      <c r="D1778" s="5" t="s">
        <v>347</v>
      </c>
      <c r="E1778" s="5" t="s">
        <v>348</v>
      </c>
      <c r="F1778" s="5" t="s">
        <v>16</v>
      </c>
      <c r="G1778" s="6">
        <v>17640</v>
      </c>
      <c r="H1778" s="1771" t="str">
        <f>HYPERLINK("https://adv-map.ru/place/?LINK=33e282fbdf6ebef2fa26c65edf0d60b8","Ссылка")</f>
        <v>Ссылка</v>
      </c>
      <c r="I1778" s="5" t="s">
        <v>1824</v>
      </c>
    </row>
    <row r="1779" spans="1:9" s="4" customFormat="1" ht="38.1" customHeight="1" outlineLevel="1" x14ac:dyDescent="0.2">
      <c r="A1779" s="5" t="s">
        <v>340</v>
      </c>
      <c r="B1779" s="5" t="s">
        <v>365</v>
      </c>
      <c r="C1779" s="5" t="s">
        <v>1825</v>
      </c>
      <c r="D1779" s="5" t="s">
        <v>347</v>
      </c>
      <c r="E1779" s="5" t="s">
        <v>348</v>
      </c>
      <c r="F1779" s="5" t="s">
        <v>14</v>
      </c>
      <c r="G1779" s="6">
        <v>22680</v>
      </c>
      <c r="H1779" s="1772" t="str">
        <f>HYPERLINK("https://adv-map.ru/place/?LINK=fcad902ea8f17840a9f6332c5319413a","Ссылка")</f>
        <v>Ссылка</v>
      </c>
      <c r="I1779" s="5" t="s">
        <v>1826</v>
      </c>
    </row>
    <row r="1780" spans="1:9" s="4" customFormat="1" ht="38.1" customHeight="1" outlineLevel="1" x14ac:dyDescent="0.2">
      <c r="A1780" s="5" t="s">
        <v>340</v>
      </c>
      <c r="B1780" s="5" t="s">
        <v>365</v>
      </c>
      <c r="C1780" s="5" t="s">
        <v>1825</v>
      </c>
      <c r="D1780" s="5" t="s">
        <v>347</v>
      </c>
      <c r="E1780" s="5" t="s">
        <v>348</v>
      </c>
      <c r="F1780" s="5" t="s">
        <v>16</v>
      </c>
      <c r="G1780" s="6">
        <v>17640</v>
      </c>
      <c r="H1780" s="1773" t="str">
        <f>HYPERLINK("https://adv-map.ru/place/?LINK=a1ee875ff0ebb5428fb3d80bf7a086ee","Ссылка")</f>
        <v>Ссылка</v>
      </c>
      <c r="I1780" s="5" t="s">
        <v>1826</v>
      </c>
    </row>
    <row r="1781" spans="1:9" s="4" customFormat="1" ht="51" customHeight="1" outlineLevel="1" x14ac:dyDescent="0.2">
      <c r="A1781" s="5" t="s">
        <v>340</v>
      </c>
      <c r="B1781" s="5" t="s">
        <v>365</v>
      </c>
      <c r="C1781" s="5" t="s">
        <v>1827</v>
      </c>
      <c r="D1781" s="5" t="s">
        <v>347</v>
      </c>
      <c r="E1781" s="5" t="s">
        <v>348</v>
      </c>
      <c r="F1781" s="5" t="s">
        <v>14</v>
      </c>
      <c r="G1781" s="6">
        <v>22680</v>
      </c>
      <c r="H1781" s="1774" t="str">
        <f>HYPERLINK("https://adv-map.ru/place/?LINK=57793b81c50c3d8b7481641ae07628dd","Ссылка")</f>
        <v>Ссылка</v>
      </c>
      <c r="I1781" s="5" t="s">
        <v>1828</v>
      </c>
    </row>
    <row r="1782" spans="1:9" s="4" customFormat="1" ht="38.1" customHeight="1" outlineLevel="1" x14ac:dyDescent="0.2">
      <c r="A1782" s="5" t="s">
        <v>340</v>
      </c>
      <c r="B1782" s="5" t="s">
        <v>365</v>
      </c>
      <c r="C1782" s="5" t="s">
        <v>1827</v>
      </c>
      <c r="D1782" s="5" t="s">
        <v>347</v>
      </c>
      <c r="E1782" s="5" t="s">
        <v>348</v>
      </c>
      <c r="F1782" s="5" t="s">
        <v>16</v>
      </c>
      <c r="G1782" s="6">
        <v>17640</v>
      </c>
      <c r="H1782" s="1775" t="str">
        <f>HYPERLINK("https://adv-map.ru/place/?LINK=a450ae47e1c9e195833975b4e87968f5","Ссылка")</f>
        <v>Ссылка</v>
      </c>
      <c r="I1782" s="5" t="s">
        <v>1828</v>
      </c>
    </row>
    <row r="1783" spans="1:9" s="4" customFormat="1" ht="38.1" customHeight="1" outlineLevel="1" x14ac:dyDescent="0.2">
      <c r="A1783" s="5" t="s">
        <v>340</v>
      </c>
      <c r="B1783" s="5" t="s">
        <v>365</v>
      </c>
      <c r="C1783" s="5" t="s">
        <v>1829</v>
      </c>
      <c r="D1783" s="5" t="s">
        <v>347</v>
      </c>
      <c r="E1783" s="5" t="s">
        <v>348</v>
      </c>
      <c r="F1783" s="5" t="s">
        <v>14</v>
      </c>
      <c r="G1783" s="6">
        <v>22365</v>
      </c>
      <c r="H1783" s="1776" t="str">
        <f>HYPERLINK("https://adv-map.ru/place/?LINK=8b4c4f4f46e7e86ede8fd12bbe6a72d6","Ссылка")</f>
        <v>Ссылка</v>
      </c>
      <c r="I1783" s="5" t="s">
        <v>1830</v>
      </c>
    </row>
    <row r="1784" spans="1:9" s="4" customFormat="1" ht="38.1" customHeight="1" outlineLevel="1" x14ac:dyDescent="0.2">
      <c r="A1784" s="5" t="s">
        <v>340</v>
      </c>
      <c r="B1784" s="5" t="s">
        <v>365</v>
      </c>
      <c r="C1784" s="5" t="s">
        <v>1829</v>
      </c>
      <c r="D1784" s="5" t="s">
        <v>347</v>
      </c>
      <c r="E1784" s="5" t="s">
        <v>348</v>
      </c>
      <c r="F1784" s="5" t="s">
        <v>16</v>
      </c>
      <c r="G1784" s="6">
        <v>17640</v>
      </c>
      <c r="H1784" s="1777" t="str">
        <f>HYPERLINK("https://adv-map.ru/place/?LINK=8fb4536060208cced33fb550e99496ad","Ссылка")</f>
        <v>Ссылка</v>
      </c>
      <c r="I1784" s="5" t="s">
        <v>1830</v>
      </c>
    </row>
    <row r="1785" spans="1:9" s="4" customFormat="1" ht="38.1" customHeight="1" outlineLevel="1" x14ac:dyDescent="0.2">
      <c r="A1785" s="5" t="s">
        <v>340</v>
      </c>
      <c r="B1785" s="5" t="s">
        <v>365</v>
      </c>
      <c r="C1785" s="5" t="s">
        <v>1831</v>
      </c>
      <c r="D1785" s="5" t="s">
        <v>347</v>
      </c>
      <c r="E1785" s="5" t="s">
        <v>348</v>
      </c>
      <c r="F1785" s="5" t="s">
        <v>14</v>
      </c>
      <c r="G1785" s="6">
        <v>22680</v>
      </c>
      <c r="H1785" s="1778" t="str">
        <f>HYPERLINK("https://adv-map.ru/place/?LINK=127bed711fc5f31d29715433893f9579","Ссылка")</f>
        <v>Ссылка</v>
      </c>
      <c r="I1785" s="5" t="s">
        <v>1832</v>
      </c>
    </row>
    <row r="1786" spans="1:9" s="4" customFormat="1" ht="38.1" customHeight="1" outlineLevel="1" x14ac:dyDescent="0.2">
      <c r="A1786" s="5" t="s">
        <v>340</v>
      </c>
      <c r="B1786" s="5" t="s">
        <v>365</v>
      </c>
      <c r="C1786" s="5" t="s">
        <v>1831</v>
      </c>
      <c r="D1786" s="5" t="s">
        <v>347</v>
      </c>
      <c r="E1786" s="5" t="s">
        <v>348</v>
      </c>
      <c r="F1786" s="5" t="s">
        <v>16</v>
      </c>
      <c r="G1786" s="6">
        <v>17640</v>
      </c>
      <c r="H1786" s="1779" t="str">
        <f>HYPERLINK("https://adv-map.ru/place/?LINK=79f9e1544660173fa3be0129e91e67e1","Ссылка")</f>
        <v>Ссылка</v>
      </c>
      <c r="I1786" s="5" t="s">
        <v>1833</v>
      </c>
    </row>
    <row r="1787" spans="1:9" s="4" customFormat="1" ht="38.1" customHeight="1" outlineLevel="1" x14ac:dyDescent="0.2">
      <c r="A1787" s="5" t="s">
        <v>340</v>
      </c>
      <c r="B1787" s="5" t="s">
        <v>365</v>
      </c>
      <c r="C1787" s="5" t="s">
        <v>1834</v>
      </c>
      <c r="D1787" s="5" t="s">
        <v>347</v>
      </c>
      <c r="E1787" s="5" t="s">
        <v>348</v>
      </c>
      <c r="F1787" s="5" t="s">
        <v>14</v>
      </c>
      <c r="G1787" s="6">
        <v>22680</v>
      </c>
      <c r="H1787" s="1780" t="str">
        <f>HYPERLINK("https://adv-map.ru/place/?LINK=05378a8a4b0797246f0cc1db9dbabd1f","Ссылка")</f>
        <v>Ссылка</v>
      </c>
      <c r="I1787" s="5" t="s">
        <v>1835</v>
      </c>
    </row>
    <row r="1788" spans="1:9" s="4" customFormat="1" ht="38.1" customHeight="1" outlineLevel="1" x14ac:dyDescent="0.2">
      <c r="A1788" s="5" t="s">
        <v>340</v>
      </c>
      <c r="B1788" s="5" t="s">
        <v>365</v>
      </c>
      <c r="C1788" s="5" t="s">
        <v>1834</v>
      </c>
      <c r="D1788" s="5" t="s">
        <v>347</v>
      </c>
      <c r="E1788" s="5" t="s">
        <v>348</v>
      </c>
      <c r="F1788" s="5" t="s">
        <v>16</v>
      </c>
      <c r="G1788" s="6">
        <v>17640</v>
      </c>
      <c r="H1788" s="1781" t="str">
        <f>HYPERLINK("https://adv-map.ru/place/?LINK=74ef18caadbdcd6ce7224cea356a9a17","Ссылка")</f>
        <v>Ссылка</v>
      </c>
      <c r="I1788" s="5" t="s">
        <v>1836</v>
      </c>
    </row>
    <row r="1789" spans="1:9" s="4" customFormat="1" ht="38.1" customHeight="1" outlineLevel="1" x14ac:dyDescent="0.2">
      <c r="A1789" s="5" t="s">
        <v>340</v>
      </c>
      <c r="B1789" s="5" t="s">
        <v>365</v>
      </c>
      <c r="C1789" s="5" t="s">
        <v>1837</v>
      </c>
      <c r="D1789" s="5" t="s">
        <v>347</v>
      </c>
      <c r="E1789" s="5" t="s">
        <v>348</v>
      </c>
      <c r="F1789" s="5" t="s">
        <v>14</v>
      </c>
      <c r="G1789" s="6">
        <v>22680</v>
      </c>
      <c r="H1789" s="1782" t="str">
        <f>HYPERLINK("https://adv-map.ru/place/?LINK=b083cd15f02df8186878a224920ddd23","Ссылка")</f>
        <v>Ссылка</v>
      </c>
      <c r="I1789" s="5" t="s">
        <v>1838</v>
      </c>
    </row>
    <row r="1790" spans="1:9" s="4" customFormat="1" ht="38.1" customHeight="1" outlineLevel="1" x14ac:dyDescent="0.2">
      <c r="A1790" s="5" t="s">
        <v>340</v>
      </c>
      <c r="B1790" s="5" t="s">
        <v>365</v>
      </c>
      <c r="C1790" s="5" t="s">
        <v>1837</v>
      </c>
      <c r="D1790" s="5" t="s">
        <v>347</v>
      </c>
      <c r="E1790" s="5" t="s">
        <v>348</v>
      </c>
      <c r="F1790" s="5" t="s">
        <v>16</v>
      </c>
      <c r="G1790" s="6">
        <v>17640</v>
      </c>
      <c r="H1790" s="1783" t="str">
        <f>HYPERLINK("https://adv-map.ru/place/?LINK=84c69f5f7fa5dbc0488ad0b0ed63a93d","Ссылка")</f>
        <v>Ссылка</v>
      </c>
      <c r="I1790" s="5" t="s">
        <v>1839</v>
      </c>
    </row>
    <row r="1791" spans="1:9" s="4" customFormat="1" ht="38.1" customHeight="1" outlineLevel="1" x14ac:dyDescent="0.2">
      <c r="A1791" s="5" t="s">
        <v>340</v>
      </c>
      <c r="B1791" s="5" t="s">
        <v>365</v>
      </c>
      <c r="C1791" s="5" t="s">
        <v>1840</v>
      </c>
      <c r="D1791" s="5" t="s">
        <v>347</v>
      </c>
      <c r="E1791" s="5" t="s">
        <v>348</v>
      </c>
      <c r="F1791" s="5" t="s">
        <v>14</v>
      </c>
      <c r="G1791" s="6">
        <v>22680</v>
      </c>
      <c r="H1791" s="1784" t="str">
        <f>HYPERLINK("https://adv-map.ru/place/?LINK=f934909a51231ba8dac2061bd2ef8ae5","Ссылка")</f>
        <v>Ссылка</v>
      </c>
      <c r="I1791" s="5" t="s">
        <v>1841</v>
      </c>
    </row>
    <row r="1792" spans="1:9" s="4" customFormat="1" ht="38.1" customHeight="1" outlineLevel="1" x14ac:dyDescent="0.2">
      <c r="A1792" s="5" t="s">
        <v>340</v>
      </c>
      <c r="B1792" s="5" t="s">
        <v>365</v>
      </c>
      <c r="C1792" s="5" t="s">
        <v>1840</v>
      </c>
      <c r="D1792" s="5" t="s">
        <v>347</v>
      </c>
      <c r="E1792" s="5" t="s">
        <v>348</v>
      </c>
      <c r="F1792" s="5" t="s">
        <v>16</v>
      </c>
      <c r="G1792" s="6">
        <v>17640</v>
      </c>
      <c r="H1792" s="1785" t="str">
        <f>HYPERLINK("https://adv-map.ru/place/?LINK=db65debdaab3417703bafa7324f4641b","Ссылка")</f>
        <v>Ссылка</v>
      </c>
      <c r="I1792" s="5" t="s">
        <v>1842</v>
      </c>
    </row>
    <row r="1793" spans="1:9" s="4" customFormat="1" ht="38.1" customHeight="1" outlineLevel="1" x14ac:dyDescent="0.2">
      <c r="A1793" s="5" t="s">
        <v>340</v>
      </c>
      <c r="B1793" s="5" t="s">
        <v>365</v>
      </c>
      <c r="C1793" s="5" t="s">
        <v>1843</v>
      </c>
      <c r="D1793" s="5" t="s">
        <v>347</v>
      </c>
      <c r="E1793" s="5" t="s">
        <v>348</v>
      </c>
      <c r="F1793" s="5" t="s">
        <v>14</v>
      </c>
      <c r="G1793" s="6">
        <v>22680</v>
      </c>
      <c r="H1793" s="1786" t="str">
        <f>HYPERLINK("https://adv-map.ru/place/?LINK=4e8ae0feba15b15b8c993f645f83d2d3","Ссылка")</f>
        <v>Ссылка</v>
      </c>
      <c r="I1793" s="5" t="s">
        <v>1844</v>
      </c>
    </row>
    <row r="1794" spans="1:9" s="4" customFormat="1" ht="38.1" customHeight="1" outlineLevel="1" x14ac:dyDescent="0.2">
      <c r="A1794" s="5" t="s">
        <v>340</v>
      </c>
      <c r="B1794" s="5" t="s">
        <v>365</v>
      </c>
      <c r="C1794" s="5" t="s">
        <v>1843</v>
      </c>
      <c r="D1794" s="5" t="s">
        <v>347</v>
      </c>
      <c r="E1794" s="5" t="s">
        <v>348</v>
      </c>
      <c r="F1794" s="5" t="s">
        <v>16</v>
      </c>
      <c r="G1794" s="6">
        <v>17640</v>
      </c>
      <c r="H1794" s="1787" t="str">
        <f>HYPERLINK("https://adv-map.ru/place/?LINK=a8b048b4ed476558f15698b1a781b0a1","Ссылка")</f>
        <v>Ссылка</v>
      </c>
      <c r="I1794" s="5" t="s">
        <v>1844</v>
      </c>
    </row>
    <row r="1795" spans="1:9" s="4" customFormat="1" ht="38.1" customHeight="1" outlineLevel="1" x14ac:dyDescent="0.2">
      <c r="A1795" s="5" t="s">
        <v>340</v>
      </c>
      <c r="B1795" s="5" t="s">
        <v>365</v>
      </c>
      <c r="C1795" s="5" t="s">
        <v>1845</v>
      </c>
      <c r="D1795" s="5" t="s">
        <v>347</v>
      </c>
      <c r="E1795" s="5" t="s">
        <v>348</v>
      </c>
      <c r="F1795" s="5" t="s">
        <v>14</v>
      </c>
      <c r="G1795" s="6">
        <v>22680</v>
      </c>
      <c r="H1795" s="1788" t="str">
        <f>HYPERLINK("https://adv-map.ru/place/?LINK=fcacf02caeb2b2ff51909d4202c3f262","Ссылка")</f>
        <v>Ссылка</v>
      </c>
      <c r="I1795" s="5" t="s">
        <v>1846</v>
      </c>
    </row>
    <row r="1796" spans="1:9" s="4" customFormat="1" ht="38.1" customHeight="1" outlineLevel="1" x14ac:dyDescent="0.2">
      <c r="A1796" s="5" t="s">
        <v>340</v>
      </c>
      <c r="B1796" s="5" t="s">
        <v>365</v>
      </c>
      <c r="C1796" s="5" t="s">
        <v>1845</v>
      </c>
      <c r="D1796" s="5" t="s">
        <v>347</v>
      </c>
      <c r="E1796" s="5" t="s">
        <v>348</v>
      </c>
      <c r="F1796" s="5" t="s">
        <v>16</v>
      </c>
      <c r="G1796" s="6">
        <v>17640</v>
      </c>
      <c r="H1796" s="1789" t="str">
        <f>HYPERLINK("https://adv-map.ru/place/?LINK=2e183182f1def59677ad7b7ee71a0c63","Ссылка")</f>
        <v>Ссылка</v>
      </c>
      <c r="I1796" s="5" t="s">
        <v>1847</v>
      </c>
    </row>
    <row r="1797" spans="1:9" s="4" customFormat="1" ht="38.1" customHeight="1" outlineLevel="1" x14ac:dyDescent="0.2">
      <c r="A1797" s="5" t="s">
        <v>340</v>
      </c>
      <c r="B1797" s="5" t="s">
        <v>365</v>
      </c>
      <c r="C1797" s="5" t="s">
        <v>1848</v>
      </c>
      <c r="D1797" s="5" t="s">
        <v>12</v>
      </c>
      <c r="E1797" s="5" t="s">
        <v>13</v>
      </c>
      <c r="F1797" s="5" t="s">
        <v>14</v>
      </c>
      <c r="G1797" s="6">
        <v>37800</v>
      </c>
      <c r="H1797" s="1790" t="str">
        <f>HYPERLINK("https://adv-map.ru/place/?LINK=542252d2d304ad71cc2a0012a60707ac","Ссылка")</f>
        <v>Ссылка</v>
      </c>
      <c r="I1797" s="5" t="s">
        <v>1849</v>
      </c>
    </row>
    <row r="1798" spans="1:9" s="4" customFormat="1" ht="38.1" customHeight="1" outlineLevel="1" x14ac:dyDescent="0.2">
      <c r="A1798" s="5" t="s">
        <v>340</v>
      </c>
      <c r="B1798" s="5" t="s">
        <v>365</v>
      </c>
      <c r="C1798" s="5" t="s">
        <v>1848</v>
      </c>
      <c r="D1798" s="5" t="s">
        <v>12</v>
      </c>
      <c r="E1798" s="5" t="s">
        <v>13</v>
      </c>
      <c r="F1798" s="5" t="s">
        <v>16</v>
      </c>
      <c r="G1798" s="6">
        <v>35280</v>
      </c>
      <c r="H1798" s="1791" t="str">
        <f>HYPERLINK("https://adv-map.ru/place/?LINK=8133ab5fb443e4b97687f4bea0b9fa7f","Ссылка")</f>
        <v>Ссылка</v>
      </c>
      <c r="I1798" s="5" t="s">
        <v>1849</v>
      </c>
    </row>
    <row r="1799" spans="1:9" s="4" customFormat="1" ht="38.1" customHeight="1" outlineLevel="1" x14ac:dyDescent="0.2">
      <c r="A1799" s="5" t="s">
        <v>340</v>
      </c>
      <c r="B1799" s="5" t="s">
        <v>365</v>
      </c>
      <c r="C1799" s="5" t="s">
        <v>1850</v>
      </c>
      <c r="D1799" s="5" t="s">
        <v>12</v>
      </c>
      <c r="E1799" s="5" t="s">
        <v>13</v>
      </c>
      <c r="F1799" s="5" t="s">
        <v>14</v>
      </c>
      <c r="G1799" s="6">
        <v>44100</v>
      </c>
      <c r="H1799" s="1792" t="str">
        <f>HYPERLINK("https://adv-map.ru/place/?LINK=b72bb38dcae792616669270be1206f18","Ссылка")</f>
        <v>Ссылка</v>
      </c>
      <c r="I1799" s="5" t="s">
        <v>1851</v>
      </c>
    </row>
    <row r="1800" spans="1:9" s="4" customFormat="1" ht="38.1" customHeight="1" outlineLevel="1" x14ac:dyDescent="0.2">
      <c r="A1800" s="5" t="s">
        <v>340</v>
      </c>
      <c r="B1800" s="5" t="s">
        <v>365</v>
      </c>
      <c r="C1800" s="5" t="s">
        <v>1850</v>
      </c>
      <c r="D1800" s="5" t="s">
        <v>12</v>
      </c>
      <c r="E1800" s="5" t="s">
        <v>13</v>
      </c>
      <c r="F1800" s="5" t="s">
        <v>16</v>
      </c>
      <c r="G1800" s="6">
        <v>31500</v>
      </c>
      <c r="H1800" s="1793" t="str">
        <f>HYPERLINK("https://adv-map.ru/place/?LINK=02eda0491100cd96c4568ec72f8835c2","Ссылка")</f>
        <v>Ссылка</v>
      </c>
      <c r="I1800" s="5" t="s">
        <v>1851</v>
      </c>
    </row>
    <row r="1801" spans="1:9" s="4" customFormat="1" ht="38.1" customHeight="1" outlineLevel="1" x14ac:dyDescent="0.2">
      <c r="A1801" s="5" t="s">
        <v>340</v>
      </c>
      <c r="B1801" s="5" t="s">
        <v>365</v>
      </c>
      <c r="C1801" s="5" t="s">
        <v>1852</v>
      </c>
      <c r="D1801" s="5" t="s">
        <v>12</v>
      </c>
      <c r="E1801" s="5" t="s">
        <v>13</v>
      </c>
      <c r="F1801" s="5" t="s">
        <v>14</v>
      </c>
      <c r="G1801" s="6">
        <v>44100</v>
      </c>
      <c r="H1801" s="1794" t="str">
        <f>HYPERLINK("https://adv-map.ru/place/?LINK=399784dccb9151a30f26cae1ec8046d5","Ссылка")</f>
        <v>Ссылка</v>
      </c>
      <c r="I1801" s="5" t="s">
        <v>1853</v>
      </c>
    </row>
    <row r="1802" spans="1:9" s="4" customFormat="1" ht="38.1" customHeight="1" outlineLevel="1" x14ac:dyDescent="0.2">
      <c r="A1802" s="5" t="s">
        <v>340</v>
      </c>
      <c r="B1802" s="5" t="s">
        <v>365</v>
      </c>
      <c r="C1802" s="5" t="s">
        <v>1852</v>
      </c>
      <c r="D1802" s="5" t="s">
        <v>12</v>
      </c>
      <c r="E1802" s="5" t="s">
        <v>13</v>
      </c>
      <c r="F1802" s="5" t="s">
        <v>16</v>
      </c>
      <c r="G1802" s="6">
        <v>31500</v>
      </c>
      <c r="H1802" s="1795" t="str">
        <f>HYPERLINK("https://adv-map.ru/place/?LINK=d98a998b62b51e56ae509fffe2b4acf4","Ссылка")</f>
        <v>Ссылка</v>
      </c>
      <c r="I1802" s="5" t="s">
        <v>1853</v>
      </c>
    </row>
    <row r="1803" spans="1:9" s="4" customFormat="1" ht="38.1" customHeight="1" outlineLevel="1" x14ac:dyDescent="0.2">
      <c r="A1803" s="5" t="s">
        <v>340</v>
      </c>
      <c r="B1803" s="5" t="s">
        <v>365</v>
      </c>
      <c r="C1803" s="5" t="s">
        <v>1854</v>
      </c>
      <c r="D1803" s="5" t="s">
        <v>12</v>
      </c>
      <c r="E1803" s="5" t="s">
        <v>13</v>
      </c>
      <c r="F1803" s="5" t="s">
        <v>16</v>
      </c>
      <c r="G1803" s="6">
        <v>31500</v>
      </c>
      <c r="H1803" s="1796" t="str">
        <f>HYPERLINK("https://adv-map.ru/place/?LINK=9156b5e1b6348e47adce577f471c24a9","Ссылка")</f>
        <v>Ссылка</v>
      </c>
      <c r="I1803" s="5" t="s">
        <v>1855</v>
      </c>
    </row>
    <row r="1804" spans="1:9" s="4" customFormat="1" ht="38.1" customHeight="1" outlineLevel="1" x14ac:dyDescent="0.2">
      <c r="A1804" s="5" t="s">
        <v>340</v>
      </c>
      <c r="B1804" s="5" t="s">
        <v>365</v>
      </c>
      <c r="C1804" s="5" t="s">
        <v>1856</v>
      </c>
      <c r="D1804" s="5" t="s">
        <v>12</v>
      </c>
      <c r="E1804" s="5" t="s">
        <v>13</v>
      </c>
      <c r="F1804" s="5" t="s">
        <v>14</v>
      </c>
      <c r="G1804" s="6">
        <v>44100</v>
      </c>
      <c r="H1804" s="1797" t="str">
        <f>HYPERLINK("https://adv-map.ru/place/?LINK=2f3dc07aab6d9b0f52a7e66513850a31","Ссылка")</f>
        <v>Ссылка</v>
      </c>
      <c r="I1804" s="5" t="s">
        <v>1855</v>
      </c>
    </row>
    <row r="1805" spans="1:9" s="4" customFormat="1" ht="38.1" customHeight="1" outlineLevel="1" x14ac:dyDescent="0.2">
      <c r="A1805" s="5" t="s">
        <v>340</v>
      </c>
      <c r="B1805" s="5" t="s">
        <v>365</v>
      </c>
      <c r="C1805" s="5" t="s">
        <v>1857</v>
      </c>
      <c r="D1805" s="5" t="s">
        <v>12</v>
      </c>
      <c r="E1805" s="5" t="s">
        <v>13</v>
      </c>
      <c r="F1805" s="5" t="s">
        <v>14</v>
      </c>
      <c r="G1805" s="6">
        <v>44100</v>
      </c>
      <c r="H1805" s="1798" t="str">
        <f>HYPERLINK("https://adv-map.ru/place/?LINK=49fc07b1772f00c4f9b5008a04b5b5d0","Ссылка")</f>
        <v>Ссылка</v>
      </c>
      <c r="I1805" s="5" t="s">
        <v>1858</v>
      </c>
    </row>
    <row r="1806" spans="1:9" s="4" customFormat="1" ht="38.1" customHeight="1" outlineLevel="1" x14ac:dyDescent="0.2">
      <c r="A1806" s="5" t="s">
        <v>340</v>
      </c>
      <c r="B1806" s="5" t="s">
        <v>365</v>
      </c>
      <c r="C1806" s="5" t="s">
        <v>1857</v>
      </c>
      <c r="D1806" s="5" t="s">
        <v>12</v>
      </c>
      <c r="E1806" s="5" t="s">
        <v>13</v>
      </c>
      <c r="F1806" s="5" t="s">
        <v>16</v>
      </c>
      <c r="G1806" s="6">
        <v>31500</v>
      </c>
      <c r="H1806" s="1799" t="str">
        <f>HYPERLINK("https://adv-map.ru/place/?LINK=82a9f3febadbdaca6ba14fae2b68bed3","Ссылка")</f>
        <v>Ссылка</v>
      </c>
      <c r="I1806" s="5" t="s">
        <v>1858</v>
      </c>
    </row>
    <row r="1807" spans="1:9" s="4" customFormat="1" ht="38.1" customHeight="1" outlineLevel="1" x14ac:dyDescent="0.2">
      <c r="A1807" s="5" t="s">
        <v>340</v>
      </c>
      <c r="B1807" s="5" t="s">
        <v>365</v>
      </c>
      <c r="C1807" s="5" t="s">
        <v>1859</v>
      </c>
      <c r="D1807" s="5" t="s">
        <v>12</v>
      </c>
      <c r="E1807" s="5" t="s">
        <v>13</v>
      </c>
      <c r="F1807" s="5" t="s">
        <v>14</v>
      </c>
      <c r="G1807" s="6">
        <v>35000</v>
      </c>
      <c r="H1807" s="1800" t="str">
        <f>HYPERLINK("https://adv-map.ru/place/?LINK=b3e14cbb6c94de93c0c655c05095e8dd","Ссылка")</f>
        <v>Ссылка</v>
      </c>
      <c r="I1807" s="5" t="s">
        <v>1860</v>
      </c>
    </row>
    <row r="1808" spans="1:9" s="4" customFormat="1" ht="38.1" customHeight="1" outlineLevel="1" x14ac:dyDescent="0.2">
      <c r="A1808" s="5" t="s">
        <v>340</v>
      </c>
      <c r="B1808" s="5" t="s">
        <v>365</v>
      </c>
      <c r="C1808" s="5" t="s">
        <v>1859</v>
      </c>
      <c r="D1808" s="5" t="s">
        <v>12</v>
      </c>
      <c r="E1808" s="5" t="s">
        <v>13</v>
      </c>
      <c r="F1808" s="5" t="s">
        <v>16</v>
      </c>
      <c r="G1808" s="6">
        <v>25000</v>
      </c>
      <c r="H1808" s="1801" t="str">
        <f>HYPERLINK("https://adv-map.ru/place/?LINK=29131add9d4b7b6e5da097a974dae2ff","Ссылка")</f>
        <v>Ссылка</v>
      </c>
      <c r="I1808" s="5" t="s">
        <v>1860</v>
      </c>
    </row>
    <row r="1809" spans="1:9" s="4" customFormat="1" ht="38.1" customHeight="1" outlineLevel="1" x14ac:dyDescent="0.2">
      <c r="A1809" s="5" t="s">
        <v>340</v>
      </c>
      <c r="B1809" s="5" t="s">
        <v>365</v>
      </c>
      <c r="C1809" s="5" t="s">
        <v>1861</v>
      </c>
      <c r="D1809" s="5" t="s">
        <v>12</v>
      </c>
      <c r="E1809" s="5" t="s">
        <v>13</v>
      </c>
      <c r="F1809" s="5" t="s">
        <v>14</v>
      </c>
      <c r="G1809" s="6">
        <v>44100</v>
      </c>
      <c r="H1809" s="1802" t="str">
        <f>HYPERLINK("https://adv-map.ru/place/?LINK=c54c884f08c112040cd03650f13a8e3f","Ссылка")</f>
        <v>Ссылка</v>
      </c>
      <c r="I1809" s="5" t="s">
        <v>1862</v>
      </c>
    </row>
    <row r="1810" spans="1:9" s="4" customFormat="1" ht="38.1" customHeight="1" outlineLevel="1" x14ac:dyDescent="0.2">
      <c r="A1810" s="5" t="s">
        <v>340</v>
      </c>
      <c r="B1810" s="5" t="s">
        <v>365</v>
      </c>
      <c r="C1810" s="5" t="s">
        <v>1861</v>
      </c>
      <c r="D1810" s="5" t="s">
        <v>12</v>
      </c>
      <c r="E1810" s="5" t="s">
        <v>13</v>
      </c>
      <c r="F1810" s="5" t="s">
        <v>16</v>
      </c>
      <c r="G1810" s="6">
        <v>31500</v>
      </c>
      <c r="H1810" s="1803" t="str">
        <f>HYPERLINK("https://adv-map.ru/place/?LINK=c7c1cbb5f6b8527b067a36b76ad54e99","Ссылка")</f>
        <v>Ссылка</v>
      </c>
      <c r="I1810" s="5" t="s">
        <v>1862</v>
      </c>
    </row>
    <row r="1811" spans="1:9" s="4" customFormat="1" ht="38.1" customHeight="1" outlineLevel="1" x14ac:dyDescent="0.2">
      <c r="A1811" s="5" t="s">
        <v>340</v>
      </c>
      <c r="B1811" s="5" t="s">
        <v>365</v>
      </c>
      <c r="C1811" s="5" t="s">
        <v>1863</v>
      </c>
      <c r="D1811" s="5" t="s">
        <v>12</v>
      </c>
      <c r="E1811" s="5" t="s">
        <v>13</v>
      </c>
      <c r="F1811" s="5" t="s">
        <v>14</v>
      </c>
      <c r="G1811" s="6">
        <v>42000</v>
      </c>
      <c r="H1811" s="1804" t="str">
        <f>HYPERLINK("https://adv-map.ru/place/?LINK=48757a401a3a59239a49ac11b9524657","Ссылка")</f>
        <v>Ссылка</v>
      </c>
      <c r="I1811" s="5" t="s">
        <v>1864</v>
      </c>
    </row>
    <row r="1812" spans="1:9" s="4" customFormat="1" ht="38.1" customHeight="1" outlineLevel="1" x14ac:dyDescent="0.2">
      <c r="A1812" s="5" t="s">
        <v>340</v>
      </c>
      <c r="B1812" s="5" t="s">
        <v>365</v>
      </c>
      <c r="C1812" s="5" t="s">
        <v>1863</v>
      </c>
      <c r="D1812" s="5" t="s">
        <v>12</v>
      </c>
      <c r="E1812" s="5" t="s">
        <v>13</v>
      </c>
      <c r="F1812" s="5" t="s">
        <v>16</v>
      </c>
      <c r="G1812" s="6">
        <v>31500</v>
      </c>
      <c r="H1812" s="1805" t="str">
        <f>HYPERLINK("https://adv-map.ru/place/?LINK=014053abc5c8b1125e11936b15ce7337","Ссылка")</f>
        <v>Ссылка</v>
      </c>
      <c r="I1812" s="5" t="s">
        <v>1864</v>
      </c>
    </row>
    <row r="1813" spans="1:9" s="4" customFormat="1" ht="38.1" customHeight="1" outlineLevel="1" x14ac:dyDescent="0.2">
      <c r="A1813" s="5" t="s">
        <v>340</v>
      </c>
      <c r="B1813" s="5" t="s">
        <v>365</v>
      </c>
      <c r="C1813" s="5" t="s">
        <v>1865</v>
      </c>
      <c r="D1813" s="5" t="s">
        <v>12</v>
      </c>
      <c r="E1813" s="5" t="s">
        <v>13</v>
      </c>
      <c r="F1813" s="5" t="s">
        <v>14</v>
      </c>
      <c r="G1813" s="6">
        <v>44100</v>
      </c>
      <c r="H1813" s="1806" t="str">
        <f>HYPERLINK("https://adv-map.ru/place/?LINK=b4090a6d9c685db2d2108174a50fcc11","Ссылка")</f>
        <v>Ссылка</v>
      </c>
      <c r="I1813" s="5" t="s">
        <v>1866</v>
      </c>
    </row>
    <row r="1814" spans="1:9" s="4" customFormat="1" ht="38.1" customHeight="1" outlineLevel="1" x14ac:dyDescent="0.2">
      <c r="A1814" s="5" t="s">
        <v>340</v>
      </c>
      <c r="B1814" s="5" t="s">
        <v>365</v>
      </c>
      <c r="C1814" s="5" t="s">
        <v>1865</v>
      </c>
      <c r="D1814" s="5" t="s">
        <v>12</v>
      </c>
      <c r="E1814" s="5" t="s">
        <v>13</v>
      </c>
      <c r="F1814" s="5" t="s">
        <v>16</v>
      </c>
      <c r="G1814" s="6">
        <v>31500</v>
      </c>
      <c r="H1814" s="1807" t="str">
        <f>HYPERLINK("https://adv-map.ru/place/?LINK=7710b4e51ac10831a9a43b4b80ee77f7","Ссылка")</f>
        <v>Ссылка</v>
      </c>
      <c r="I1814" s="5" t="s">
        <v>1866</v>
      </c>
    </row>
    <row r="1815" spans="1:9" s="4" customFormat="1" ht="38.1" customHeight="1" outlineLevel="1" x14ac:dyDescent="0.2">
      <c r="A1815" s="5" t="s">
        <v>340</v>
      </c>
      <c r="B1815" s="5" t="s">
        <v>365</v>
      </c>
      <c r="C1815" s="5" t="s">
        <v>1867</v>
      </c>
      <c r="D1815" s="5" t="s">
        <v>12</v>
      </c>
      <c r="E1815" s="5" t="s">
        <v>13</v>
      </c>
      <c r="F1815" s="5" t="s">
        <v>14</v>
      </c>
      <c r="G1815" s="6">
        <v>39900</v>
      </c>
      <c r="H1815" s="1808" t="str">
        <f>HYPERLINK("https://adv-map.ru/place/?LINK=7284ba147f54a091d2d5d5e3b57cf975","Ссылка")</f>
        <v>Ссылка</v>
      </c>
      <c r="I1815" s="5" t="s">
        <v>1868</v>
      </c>
    </row>
    <row r="1816" spans="1:9" s="4" customFormat="1" ht="38.1" customHeight="1" outlineLevel="1" x14ac:dyDescent="0.2">
      <c r="A1816" s="5" t="s">
        <v>340</v>
      </c>
      <c r="B1816" s="5" t="s">
        <v>365</v>
      </c>
      <c r="C1816" s="5" t="s">
        <v>1867</v>
      </c>
      <c r="D1816" s="5" t="s">
        <v>12</v>
      </c>
      <c r="E1816" s="5" t="s">
        <v>13</v>
      </c>
      <c r="F1816" s="5" t="s">
        <v>16</v>
      </c>
      <c r="G1816" s="6">
        <v>31500</v>
      </c>
      <c r="H1816" s="1809" t="str">
        <f>HYPERLINK("https://adv-map.ru/place/?LINK=84ff3ac4b47ad61eec1d04a2d75605d5","Ссылка")</f>
        <v>Ссылка</v>
      </c>
      <c r="I1816" s="5" t="s">
        <v>1868</v>
      </c>
    </row>
    <row r="1817" spans="1:9" s="4" customFormat="1" ht="38.1" customHeight="1" outlineLevel="1" x14ac:dyDescent="0.2">
      <c r="A1817" s="5" t="s">
        <v>340</v>
      </c>
      <c r="B1817" s="5" t="s">
        <v>365</v>
      </c>
      <c r="C1817" s="5" t="s">
        <v>1869</v>
      </c>
      <c r="D1817" s="5" t="s">
        <v>405</v>
      </c>
      <c r="E1817" s="5" t="s">
        <v>348</v>
      </c>
      <c r="F1817" s="5" t="s">
        <v>14</v>
      </c>
      <c r="G1817" s="6">
        <v>30240</v>
      </c>
      <c r="H1817" s="1810" t="str">
        <f>HYPERLINK("https://adv-map.ru/place/?LINK=7a28d55572b42f9d640fe14ca14e2d59","Ссылка")</f>
        <v>Ссылка</v>
      </c>
      <c r="I1817" s="5" t="s">
        <v>1870</v>
      </c>
    </row>
    <row r="1818" spans="1:9" s="4" customFormat="1" ht="38.1" customHeight="1" outlineLevel="1" x14ac:dyDescent="0.2">
      <c r="A1818" s="5" t="s">
        <v>340</v>
      </c>
      <c r="B1818" s="5" t="s">
        <v>365</v>
      </c>
      <c r="C1818" s="5" t="s">
        <v>1869</v>
      </c>
      <c r="D1818" s="5" t="s">
        <v>405</v>
      </c>
      <c r="E1818" s="5" t="s">
        <v>348</v>
      </c>
      <c r="F1818" s="5" t="s">
        <v>16</v>
      </c>
      <c r="G1818" s="6">
        <v>22680</v>
      </c>
      <c r="H1818" s="1811" t="str">
        <f>HYPERLINK("https://adv-map.ru/place/?LINK=3e4b41966dd356fda61c7795ef632d99","Ссылка")</f>
        <v>Ссылка</v>
      </c>
      <c r="I1818" s="5" t="s">
        <v>1870</v>
      </c>
    </row>
    <row r="1819" spans="1:9" s="4" customFormat="1" ht="38.1" customHeight="1" outlineLevel="1" x14ac:dyDescent="0.2">
      <c r="A1819" s="5" t="s">
        <v>340</v>
      </c>
      <c r="B1819" s="5" t="s">
        <v>365</v>
      </c>
      <c r="C1819" s="5" t="s">
        <v>1871</v>
      </c>
      <c r="D1819" s="5" t="s">
        <v>49</v>
      </c>
      <c r="E1819" s="5" t="s">
        <v>13</v>
      </c>
      <c r="F1819" s="5" t="s">
        <v>28</v>
      </c>
      <c r="G1819" s="6">
        <v>42000</v>
      </c>
      <c r="H1819" s="1812" t="str">
        <f>HYPERLINK("https://adv-map.ru/place/?LINK=ce9beca631b5ccc42806fda1e2d6896c","Ссылка")</f>
        <v>Ссылка</v>
      </c>
      <c r="I1819" s="5" t="s">
        <v>1872</v>
      </c>
    </row>
    <row r="1820" spans="1:9" s="4" customFormat="1" ht="38.1" customHeight="1" outlineLevel="1" x14ac:dyDescent="0.2">
      <c r="A1820" s="5" t="s">
        <v>340</v>
      </c>
      <c r="B1820" s="5" t="s">
        <v>365</v>
      </c>
      <c r="C1820" s="5" t="s">
        <v>1871</v>
      </c>
      <c r="D1820" s="5" t="s">
        <v>49</v>
      </c>
      <c r="E1820" s="5" t="s">
        <v>13</v>
      </c>
      <c r="F1820" s="5" t="s">
        <v>30</v>
      </c>
      <c r="G1820" s="6">
        <v>42000</v>
      </c>
      <c r="H1820" s="1813" t="str">
        <f>HYPERLINK("https://adv-map.ru/place/?LINK=3989d4f92a41a87c28fef84e42ec5234","Ссылка")</f>
        <v>Ссылка</v>
      </c>
      <c r="I1820" s="5" t="s">
        <v>1872</v>
      </c>
    </row>
    <row r="1821" spans="1:9" s="4" customFormat="1" ht="38.1" customHeight="1" outlineLevel="1" x14ac:dyDescent="0.2">
      <c r="A1821" s="5" t="s">
        <v>340</v>
      </c>
      <c r="B1821" s="5" t="s">
        <v>365</v>
      </c>
      <c r="C1821" s="5" t="s">
        <v>1871</v>
      </c>
      <c r="D1821" s="5" t="s">
        <v>49</v>
      </c>
      <c r="E1821" s="5" t="s">
        <v>13</v>
      </c>
      <c r="F1821" s="5" t="s">
        <v>31</v>
      </c>
      <c r="G1821" s="6">
        <v>42000</v>
      </c>
      <c r="H1821" s="1814" t="str">
        <f>HYPERLINK("https://adv-map.ru/place/?LINK=ae01fd3ad1692e7283e5b28b4e54f2c5","Ссылка")</f>
        <v>Ссылка</v>
      </c>
      <c r="I1821" s="5" t="s">
        <v>1872</v>
      </c>
    </row>
    <row r="1822" spans="1:9" s="4" customFormat="1" ht="38.1" customHeight="1" outlineLevel="1" x14ac:dyDescent="0.2">
      <c r="A1822" s="5" t="s">
        <v>340</v>
      </c>
      <c r="B1822" s="5" t="s">
        <v>365</v>
      </c>
      <c r="C1822" s="5" t="s">
        <v>1871</v>
      </c>
      <c r="D1822" s="5" t="s">
        <v>12</v>
      </c>
      <c r="E1822" s="5" t="s">
        <v>13</v>
      </c>
      <c r="F1822" s="5" t="s">
        <v>16</v>
      </c>
      <c r="G1822" s="6">
        <v>31500</v>
      </c>
      <c r="H1822" s="1815" t="str">
        <f>HYPERLINK("https://adv-map.ru/place/?LINK=a8d372a35a267f35ca30e6ba3017fafa","Ссылка")</f>
        <v>Ссылка</v>
      </c>
      <c r="I1822" s="5" t="s">
        <v>1872</v>
      </c>
    </row>
    <row r="1823" spans="1:9" s="4" customFormat="1" ht="38.1" customHeight="1" outlineLevel="1" x14ac:dyDescent="0.2">
      <c r="A1823" s="5" t="s">
        <v>340</v>
      </c>
      <c r="B1823" s="5" t="s">
        <v>365</v>
      </c>
      <c r="C1823" s="5" t="s">
        <v>1873</v>
      </c>
      <c r="D1823" s="5" t="s">
        <v>12</v>
      </c>
      <c r="E1823" s="5" t="s">
        <v>13</v>
      </c>
      <c r="F1823" s="5" t="s">
        <v>14</v>
      </c>
      <c r="G1823" s="6">
        <v>37800</v>
      </c>
      <c r="H1823" s="1816" t="str">
        <f>HYPERLINK("https://adv-map.ru/place/?LINK=a97a962443f997140d453043134d8ef6","Ссылка")</f>
        <v>Ссылка</v>
      </c>
      <c r="I1823" s="5" t="s">
        <v>1874</v>
      </c>
    </row>
    <row r="1824" spans="1:9" s="4" customFormat="1" ht="51" customHeight="1" outlineLevel="1" x14ac:dyDescent="0.2">
      <c r="A1824" s="5" t="s">
        <v>340</v>
      </c>
      <c r="B1824" s="5" t="s">
        <v>365</v>
      </c>
      <c r="C1824" s="5" t="s">
        <v>1873</v>
      </c>
      <c r="D1824" s="5" t="s">
        <v>12</v>
      </c>
      <c r="E1824" s="5" t="s">
        <v>13</v>
      </c>
      <c r="F1824" s="5" t="s">
        <v>16</v>
      </c>
      <c r="G1824" s="6">
        <v>25200</v>
      </c>
      <c r="H1824" s="1817" t="str">
        <f>HYPERLINK("https://adv-map.ru/place/?LINK=a4566b514cd1444ddb397a55b2a7e461","Ссылка")</f>
        <v>Ссылка</v>
      </c>
      <c r="I1824" s="5" t="s">
        <v>1874</v>
      </c>
    </row>
    <row r="1825" spans="1:9" s="4" customFormat="1" ht="38.1" customHeight="1" outlineLevel="1" x14ac:dyDescent="0.2">
      <c r="A1825" s="5" t="s">
        <v>340</v>
      </c>
      <c r="B1825" s="5" t="s">
        <v>365</v>
      </c>
      <c r="C1825" s="5" t="s">
        <v>1875</v>
      </c>
      <c r="D1825" s="5" t="s">
        <v>12</v>
      </c>
      <c r="E1825" s="5" t="s">
        <v>13</v>
      </c>
      <c r="F1825" s="5" t="s">
        <v>14</v>
      </c>
      <c r="G1825" s="6">
        <v>37800</v>
      </c>
      <c r="H1825" s="1818" t="str">
        <f>HYPERLINK("https://adv-map.ru/place/?LINK=7e3e13710f03777ea4df19c88a485af8","Ссылка")</f>
        <v>Ссылка</v>
      </c>
      <c r="I1825" s="5" t="s">
        <v>1876</v>
      </c>
    </row>
    <row r="1826" spans="1:9" s="4" customFormat="1" ht="38.1" customHeight="1" outlineLevel="1" x14ac:dyDescent="0.2">
      <c r="A1826" s="5" t="s">
        <v>340</v>
      </c>
      <c r="B1826" s="5" t="s">
        <v>365</v>
      </c>
      <c r="C1826" s="5" t="s">
        <v>1875</v>
      </c>
      <c r="D1826" s="5" t="s">
        <v>12</v>
      </c>
      <c r="E1826" s="5" t="s">
        <v>13</v>
      </c>
      <c r="F1826" s="5" t="s">
        <v>16</v>
      </c>
      <c r="G1826" s="6">
        <v>25200</v>
      </c>
      <c r="H1826" s="1819" t="str">
        <f>HYPERLINK("https://adv-map.ru/place/?LINK=01544dca5580f833df425cf1058e93d9","Ссылка")</f>
        <v>Ссылка</v>
      </c>
      <c r="I1826" s="5" t="s">
        <v>1876</v>
      </c>
    </row>
    <row r="1827" spans="1:9" s="4" customFormat="1" ht="38.1" customHeight="1" outlineLevel="1" x14ac:dyDescent="0.2">
      <c r="A1827" s="5" t="s">
        <v>340</v>
      </c>
      <c r="B1827" s="5" t="s">
        <v>365</v>
      </c>
      <c r="C1827" s="5" t="s">
        <v>1877</v>
      </c>
      <c r="D1827" s="5" t="s">
        <v>12</v>
      </c>
      <c r="E1827" s="5" t="s">
        <v>13</v>
      </c>
      <c r="F1827" s="5" t="s">
        <v>14</v>
      </c>
      <c r="G1827" s="6">
        <v>42000</v>
      </c>
      <c r="H1827" s="1820" t="str">
        <f>HYPERLINK("https://adv-map.ru/place/?LINK=34ceb1fe98ce1a73f4159102cea0f909","Ссылка")</f>
        <v>Ссылка</v>
      </c>
      <c r="I1827" s="5" t="s">
        <v>1878</v>
      </c>
    </row>
    <row r="1828" spans="1:9" s="4" customFormat="1" ht="38.1" customHeight="1" outlineLevel="1" x14ac:dyDescent="0.2">
      <c r="A1828" s="5" t="s">
        <v>340</v>
      </c>
      <c r="B1828" s="5" t="s">
        <v>365</v>
      </c>
      <c r="C1828" s="5" t="s">
        <v>1877</v>
      </c>
      <c r="D1828" s="5" t="s">
        <v>12</v>
      </c>
      <c r="E1828" s="5" t="s">
        <v>13</v>
      </c>
      <c r="F1828" s="5" t="s">
        <v>16</v>
      </c>
      <c r="G1828" s="6">
        <v>31500</v>
      </c>
      <c r="H1828" s="1821" t="str">
        <f>HYPERLINK("https://adv-map.ru/place/?LINK=e9a55d32ba61e6f6296aa962da30a995","Ссылка")</f>
        <v>Ссылка</v>
      </c>
      <c r="I1828" s="5" t="s">
        <v>1878</v>
      </c>
    </row>
    <row r="1829" spans="1:9" s="4" customFormat="1" ht="38.1" customHeight="1" outlineLevel="1" x14ac:dyDescent="0.2">
      <c r="A1829" s="5" t="s">
        <v>340</v>
      </c>
      <c r="B1829" s="5" t="s">
        <v>365</v>
      </c>
      <c r="C1829" s="5" t="s">
        <v>1879</v>
      </c>
      <c r="D1829" s="5" t="s">
        <v>351</v>
      </c>
      <c r="E1829" s="5" t="s">
        <v>352</v>
      </c>
      <c r="F1829" s="5" t="s">
        <v>14</v>
      </c>
      <c r="G1829" s="6">
        <v>136500</v>
      </c>
      <c r="H1829" s="1822" t="str">
        <f>HYPERLINK("https://adv-map.ru/place/?LINK=da1ecb8ba0d12bf8b37b809e1871eff0","Ссылка")</f>
        <v>Ссылка</v>
      </c>
      <c r="I1829" s="5" t="s">
        <v>1880</v>
      </c>
    </row>
    <row r="1830" spans="1:9" s="4" customFormat="1" ht="38.1" customHeight="1" outlineLevel="1" x14ac:dyDescent="0.2">
      <c r="A1830" s="5" t="s">
        <v>340</v>
      </c>
      <c r="B1830" s="5" t="s">
        <v>365</v>
      </c>
      <c r="C1830" s="5" t="s">
        <v>1879</v>
      </c>
      <c r="D1830" s="5" t="s">
        <v>351</v>
      </c>
      <c r="E1830" s="5" t="s">
        <v>352</v>
      </c>
      <c r="F1830" s="5" t="s">
        <v>16</v>
      </c>
      <c r="G1830" s="6">
        <v>94500</v>
      </c>
      <c r="H1830" s="1823" t="str">
        <f>HYPERLINK("https://adv-map.ru/place/?LINK=f2cbd43b9d0de1f61c5c8db9cd8cbf40","Ссылка")</f>
        <v>Ссылка</v>
      </c>
      <c r="I1830" s="5" t="s">
        <v>1880</v>
      </c>
    </row>
    <row r="1831" spans="1:9" s="4" customFormat="1" ht="38.1" customHeight="1" outlineLevel="1" x14ac:dyDescent="0.2">
      <c r="A1831" s="5" t="s">
        <v>340</v>
      </c>
      <c r="B1831" s="5" t="s">
        <v>365</v>
      </c>
      <c r="C1831" s="5" t="s">
        <v>1881</v>
      </c>
      <c r="D1831" s="5" t="s">
        <v>49</v>
      </c>
      <c r="E1831" s="5" t="s">
        <v>13</v>
      </c>
      <c r="F1831" s="5" t="s">
        <v>28</v>
      </c>
      <c r="G1831" s="6">
        <v>46200</v>
      </c>
      <c r="H1831" s="1824" t="str">
        <f>HYPERLINK("https://adv-map.ru/place/?LINK=32939a506773d8ea9593d9139af89285","Ссылка")</f>
        <v>Ссылка</v>
      </c>
      <c r="I1831" s="5" t="s">
        <v>1882</v>
      </c>
    </row>
    <row r="1832" spans="1:9" s="4" customFormat="1" ht="38.1" customHeight="1" outlineLevel="1" x14ac:dyDescent="0.2">
      <c r="A1832" s="5" t="s">
        <v>340</v>
      </c>
      <c r="B1832" s="5" t="s">
        <v>365</v>
      </c>
      <c r="C1832" s="5" t="s">
        <v>1881</v>
      </c>
      <c r="D1832" s="5" t="s">
        <v>49</v>
      </c>
      <c r="E1832" s="5" t="s">
        <v>13</v>
      </c>
      <c r="F1832" s="5" t="s">
        <v>30</v>
      </c>
      <c r="G1832" s="6">
        <v>46200</v>
      </c>
      <c r="H1832" s="1825" t="str">
        <f>HYPERLINK("https://adv-map.ru/place/?LINK=d9db8fb5eede9566adf039223898ac13","Ссылка")</f>
        <v>Ссылка</v>
      </c>
      <c r="I1832" s="5" t="s">
        <v>1882</v>
      </c>
    </row>
    <row r="1833" spans="1:9" s="4" customFormat="1" ht="38.1" customHeight="1" outlineLevel="1" x14ac:dyDescent="0.2">
      <c r="A1833" s="5" t="s">
        <v>340</v>
      </c>
      <c r="B1833" s="5" t="s">
        <v>365</v>
      </c>
      <c r="C1833" s="5" t="s">
        <v>1881</v>
      </c>
      <c r="D1833" s="5" t="s">
        <v>49</v>
      </c>
      <c r="E1833" s="5" t="s">
        <v>13</v>
      </c>
      <c r="F1833" s="5" t="s">
        <v>31</v>
      </c>
      <c r="G1833" s="6">
        <v>46200</v>
      </c>
      <c r="H1833" s="1826" t="str">
        <f>HYPERLINK("https://adv-map.ru/place/?LINK=2e5f78c3e4cb7b36f12dcf08579ddcf0","Ссылка")</f>
        <v>Ссылка</v>
      </c>
      <c r="I1833" s="5" t="s">
        <v>1883</v>
      </c>
    </row>
    <row r="1834" spans="1:9" s="4" customFormat="1" ht="38.1" customHeight="1" outlineLevel="1" x14ac:dyDescent="0.2">
      <c r="A1834" s="5" t="s">
        <v>340</v>
      </c>
      <c r="B1834" s="5" t="s">
        <v>365</v>
      </c>
      <c r="C1834" s="5" t="s">
        <v>1881</v>
      </c>
      <c r="D1834" s="5" t="s">
        <v>12</v>
      </c>
      <c r="E1834" s="5" t="s">
        <v>13</v>
      </c>
      <c r="F1834" s="5" t="s">
        <v>16</v>
      </c>
      <c r="G1834" s="6">
        <v>31500</v>
      </c>
      <c r="H1834" s="1827" t="str">
        <f>HYPERLINK("https://adv-map.ru/place/?LINK=e93e2dfc9ecc52767152df1b983f60d0","Ссылка")</f>
        <v>Ссылка</v>
      </c>
      <c r="I1834" s="5" t="s">
        <v>1883</v>
      </c>
    </row>
    <row r="1835" spans="1:9" s="4" customFormat="1" ht="38.1" customHeight="1" outlineLevel="1" x14ac:dyDescent="0.2">
      <c r="A1835" s="5" t="s">
        <v>340</v>
      </c>
      <c r="B1835" s="5" t="s">
        <v>354</v>
      </c>
      <c r="C1835" s="5" t="s">
        <v>1884</v>
      </c>
      <c r="D1835" s="5" t="s">
        <v>347</v>
      </c>
      <c r="E1835" s="5" t="s">
        <v>348</v>
      </c>
      <c r="F1835" s="5" t="s">
        <v>14</v>
      </c>
      <c r="G1835" s="6">
        <v>25200</v>
      </c>
      <c r="H1835" s="1828" t="str">
        <f>HYPERLINK("https://adv-map.ru/place/?LINK=c7e3f53a28cd38441f93cf65bf41c835","Ссылка")</f>
        <v>Ссылка</v>
      </c>
      <c r="I1835" s="5" t="s">
        <v>1885</v>
      </c>
    </row>
    <row r="1836" spans="1:9" s="4" customFormat="1" ht="38.1" customHeight="1" outlineLevel="1" x14ac:dyDescent="0.2">
      <c r="A1836" s="5" t="s">
        <v>340</v>
      </c>
      <c r="B1836" s="5" t="s">
        <v>354</v>
      </c>
      <c r="C1836" s="5" t="s">
        <v>1884</v>
      </c>
      <c r="D1836" s="5" t="s">
        <v>347</v>
      </c>
      <c r="E1836" s="5" t="s">
        <v>348</v>
      </c>
      <c r="F1836" s="5" t="s">
        <v>16</v>
      </c>
      <c r="G1836" s="6">
        <v>20160</v>
      </c>
      <c r="H1836" s="1829" t="str">
        <f>HYPERLINK("https://adv-map.ru/place/?LINK=ef4a9e8509bd3a121feef4dc07d57771","Ссылка")</f>
        <v>Ссылка</v>
      </c>
      <c r="I1836" s="5" t="s">
        <v>1885</v>
      </c>
    </row>
    <row r="1837" spans="1:9" s="4" customFormat="1" ht="38.1" customHeight="1" outlineLevel="1" x14ac:dyDescent="0.2">
      <c r="A1837" s="5" t="s">
        <v>340</v>
      </c>
      <c r="B1837" s="5" t="s">
        <v>354</v>
      </c>
      <c r="C1837" s="5" t="s">
        <v>1886</v>
      </c>
      <c r="D1837" s="5" t="s">
        <v>347</v>
      </c>
      <c r="E1837" s="5" t="s">
        <v>348</v>
      </c>
      <c r="F1837" s="5" t="s">
        <v>14</v>
      </c>
      <c r="G1837" s="6">
        <v>25200</v>
      </c>
      <c r="H1837" s="1830" t="str">
        <f>HYPERLINK("https://adv-map.ru/place/?LINK=b3f2d89c42fa13f5718b709eae05ddd0","Ссылка")</f>
        <v>Ссылка</v>
      </c>
      <c r="I1837" s="5" t="s">
        <v>1887</v>
      </c>
    </row>
    <row r="1838" spans="1:9" s="4" customFormat="1" ht="38.1" customHeight="1" outlineLevel="1" x14ac:dyDescent="0.2">
      <c r="A1838" s="5" t="s">
        <v>340</v>
      </c>
      <c r="B1838" s="5" t="s">
        <v>354</v>
      </c>
      <c r="C1838" s="5" t="s">
        <v>1886</v>
      </c>
      <c r="D1838" s="5" t="s">
        <v>347</v>
      </c>
      <c r="E1838" s="5" t="s">
        <v>348</v>
      </c>
      <c r="F1838" s="5" t="s">
        <v>16</v>
      </c>
      <c r="G1838" s="6">
        <v>20160</v>
      </c>
      <c r="H1838" s="1831" t="str">
        <f>HYPERLINK("https://adv-map.ru/place/?LINK=96d8e877bd2b8a43f2252f46ea0e58ed","Ссылка")</f>
        <v>Ссылка</v>
      </c>
      <c r="I1838" s="5" t="s">
        <v>1887</v>
      </c>
    </row>
    <row r="1839" spans="1:9" s="4" customFormat="1" ht="38.1" customHeight="1" outlineLevel="1" x14ac:dyDescent="0.2">
      <c r="A1839" s="5" t="s">
        <v>340</v>
      </c>
      <c r="B1839" s="5" t="s">
        <v>345</v>
      </c>
      <c r="C1839" s="5" t="s">
        <v>1888</v>
      </c>
      <c r="D1839" s="5" t="s">
        <v>347</v>
      </c>
      <c r="E1839" s="5" t="s">
        <v>348</v>
      </c>
      <c r="F1839" s="5" t="s">
        <v>14</v>
      </c>
      <c r="G1839" s="6">
        <v>25200</v>
      </c>
      <c r="H1839" s="1832" t="str">
        <f>HYPERLINK("https://adv-map.ru/place/?LINK=1ec802baabfc7c31cf5fa1a911147102","Ссылка")</f>
        <v>Ссылка</v>
      </c>
      <c r="I1839" s="5" t="s">
        <v>1889</v>
      </c>
    </row>
    <row r="1840" spans="1:9" s="4" customFormat="1" ht="38.1" customHeight="1" outlineLevel="1" x14ac:dyDescent="0.2">
      <c r="A1840" s="5" t="s">
        <v>340</v>
      </c>
      <c r="B1840" s="5" t="s">
        <v>345</v>
      </c>
      <c r="C1840" s="5" t="s">
        <v>1888</v>
      </c>
      <c r="D1840" s="5" t="s">
        <v>347</v>
      </c>
      <c r="E1840" s="5" t="s">
        <v>348</v>
      </c>
      <c r="F1840" s="5" t="s">
        <v>16</v>
      </c>
      <c r="G1840" s="6">
        <v>17640</v>
      </c>
      <c r="H1840" s="1833" t="str">
        <f>HYPERLINK("https://adv-map.ru/place/?LINK=314c4a3b79c80e13a327e4bd3c6e28f5","Ссылка")</f>
        <v>Ссылка</v>
      </c>
      <c r="I1840" s="5" t="s">
        <v>1889</v>
      </c>
    </row>
    <row r="1841" spans="1:9" s="4" customFormat="1" ht="38.1" customHeight="1" outlineLevel="1" x14ac:dyDescent="0.2">
      <c r="A1841" s="5" t="s">
        <v>340</v>
      </c>
      <c r="B1841" s="5" t="s">
        <v>345</v>
      </c>
      <c r="C1841" s="5" t="s">
        <v>1890</v>
      </c>
      <c r="D1841" s="5" t="s">
        <v>347</v>
      </c>
      <c r="E1841" s="5" t="s">
        <v>348</v>
      </c>
      <c r="F1841" s="5" t="s">
        <v>14</v>
      </c>
      <c r="G1841" s="6">
        <v>25200</v>
      </c>
      <c r="H1841" s="1834" t="str">
        <f>HYPERLINK("https://adv-map.ru/place/?LINK=6d789ffb02f9cb20e9f670719bfe3f31","Ссылка")</f>
        <v>Ссылка</v>
      </c>
      <c r="I1841" s="5" t="s">
        <v>1891</v>
      </c>
    </row>
    <row r="1842" spans="1:9" s="4" customFormat="1" ht="38.1" customHeight="1" outlineLevel="1" x14ac:dyDescent="0.2">
      <c r="A1842" s="5" t="s">
        <v>340</v>
      </c>
      <c r="B1842" s="5" t="s">
        <v>345</v>
      </c>
      <c r="C1842" s="5" t="s">
        <v>1890</v>
      </c>
      <c r="D1842" s="5" t="s">
        <v>347</v>
      </c>
      <c r="E1842" s="5" t="s">
        <v>348</v>
      </c>
      <c r="F1842" s="5" t="s">
        <v>16</v>
      </c>
      <c r="G1842" s="6">
        <v>17640</v>
      </c>
      <c r="H1842" s="1835" t="str">
        <f>HYPERLINK("https://adv-map.ru/place/?LINK=63249ffe96d0836e7b9e72a632b043b2","Ссылка")</f>
        <v>Ссылка</v>
      </c>
      <c r="I1842" s="5" t="s">
        <v>1891</v>
      </c>
    </row>
    <row r="1843" spans="1:9" s="4" customFormat="1" ht="38.1" customHeight="1" outlineLevel="1" x14ac:dyDescent="0.2">
      <c r="A1843" s="5" t="s">
        <v>340</v>
      </c>
      <c r="B1843" s="5" t="s">
        <v>345</v>
      </c>
      <c r="C1843" s="5" t="s">
        <v>1892</v>
      </c>
      <c r="D1843" s="5" t="s">
        <v>347</v>
      </c>
      <c r="E1843" s="5" t="s">
        <v>348</v>
      </c>
      <c r="F1843" s="5" t="s">
        <v>14</v>
      </c>
      <c r="G1843" s="6">
        <v>25200</v>
      </c>
      <c r="H1843" s="1836" t="str">
        <f>HYPERLINK("https://adv-map.ru/place/?LINK=39aa3328d59e591d94a6cc717fa8a880","Ссылка")</f>
        <v>Ссылка</v>
      </c>
      <c r="I1843" s="5" t="s">
        <v>1893</v>
      </c>
    </row>
    <row r="1844" spans="1:9" s="4" customFormat="1" ht="38.1" customHeight="1" outlineLevel="1" x14ac:dyDescent="0.2">
      <c r="A1844" s="5" t="s">
        <v>340</v>
      </c>
      <c r="B1844" s="5" t="s">
        <v>345</v>
      </c>
      <c r="C1844" s="5" t="s">
        <v>1892</v>
      </c>
      <c r="D1844" s="5" t="s">
        <v>347</v>
      </c>
      <c r="E1844" s="5" t="s">
        <v>348</v>
      </c>
      <c r="F1844" s="5" t="s">
        <v>16</v>
      </c>
      <c r="G1844" s="6">
        <v>17640</v>
      </c>
      <c r="H1844" s="1837" t="str">
        <f>HYPERLINK("https://adv-map.ru/place/?LINK=6ebeebf0b894dc475c7676b42b7c9756","Ссылка")</f>
        <v>Ссылка</v>
      </c>
      <c r="I1844" s="5" t="s">
        <v>1893</v>
      </c>
    </row>
    <row r="1845" spans="1:9" s="4" customFormat="1" ht="38.1" customHeight="1" outlineLevel="1" x14ac:dyDescent="0.2">
      <c r="A1845" s="5" t="s">
        <v>340</v>
      </c>
      <c r="B1845" s="5" t="s">
        <v>345</v>
      </c>
      <c r="C1845" s="5" t="s">
        <v>1894</v>
      </c>
      <c r="D1845" s="5" t="s">
        <v>396</v>
      </c>
      <c r="E1845" s="5" t="s">
        <v>397</v>
      </c>
      <c r="F1845" s="5" t="s">
        <v>28</v>
      </c>
      <c r="G1845" s="6">
        <v>35280</v>
      </c>
      <c r="H1845" s="1838" t="str">
        <f>HYPERLINK("https://adv-map.ru/place/?LINK=2c782169b6ec82b89259be378aca3d15","Ссылка")</f>
        <v>Ссылка</v>
      </c>
      <c r="I1845" s="5" t="s">
        <v>1895</v>
      </c>
    </row>
    <row r="1846" spans="1:9" s="4" customFormat="1" ht="38.1" customHeight="1" outlineLevel="1" x14ac:dyDescent="0.2">
      <c r="A1846" s="5" t="s">
        <v>340</v>
      </c>
      <c r="B1846" s="5" t="s">
        <v>345</v>
      </c>
      <c r="C1846" s="5" t="s">
        <v>1894</v>
      </c>
      <c r="D1846" s="5" t="s">
        <v>396</v>
      </c>
      <c r="E1846" s="5" t="s">
        <v>397</v>
      </c>
      <c r="F1846" s="5" t="s">
        <v>30</v>
      </c>
      <c r="G1846" s="6">
        <v>30240</v>
      </c>
      <c r="H1846" s="1839" t="str">
        <f>HYPERLINK("https://adv-map.ru/place/?LINK=0bd4027c23bafe92fd0ca14d7031eeca","Ссылка")</f>
        <v>Ссылка</v>
      </c>
      <c r="I1846" s="5" t="s">
        <v>1895</v>
      </c>
    </row>
    <row r="1847" spans="1:9" s="4" customFormat="1" ht="38.1" customHeight="1" outlineLevel="1" x14ac:dyDescent="0.2">
      <c r="A1847" s="5" t="s">
        <v>340</v>
      </c>
      <c r="B1847" s="5" t="s">
        <v>345</v>
      </c>
      <c r="C1847" s="5" t="s">
        <v>1894</v>
      </c>
      <c r="D1847" s="5" t="s">
        <v>396</v>
      </c>
      <c r="E1847" s="5" t="s">
        <v>397</v>
      </c>
      <c r="F1847" s="5" t="s">
        <v>31</v>
      </c>
      <c r="G1847" s="6">
        <v>25200</v>
      </c>
      <c r="H1847" s="1840" t="str">
        <f>HYPERLINK("https://adv-map.ru/place/?LINK=14b18c930330b1f4c5be1fc74fdbd7c3","Ссылка")</f>
        <v>Ссылка</v>
      </c>
      <c r="I1847" s="5" t="s">
        <v>1895</v>
      </c>
    </row>
    <row r="1848" spans="1:9" s="4" customFormat="1" ht="38.1" customHeight="1" outlineLevel="1" x14ac:dyDescent="0.2">
      <c r="A1848" s="5" t="s">
        <v>340</v>
      </c>
      <c r="B1848" s="5" t="s">
        <v>345</v>
      </c>
      <c r="C1848" s="5" t="s">
        <v>1896</v>
      </c>
      <c r="D1848" s="5" t="s">
        <v>347</v>
      </c>
      <c r="E1848" s="5" t="s">
        <v>348</v>
      </c>
      <c r="F1848" s="5" t="s">
        <v>14</v>
      </c>
      <c r="G1848" s="6">
        <v>18900</v>
      </c>
      <c r="H1848" s="1841" t="str">
        <f>HYPERLINK("https://adv-map.ru/place/?LINK=feb1be0cb355506b8eb2eeb954acdc92","Ссылка")</f>
        <v>Ссылка</v>
      </c>
      <c r="I1848" s="5" t="s">
        <v>1897</v>
      </c>
    </row>
    <row r="1849" spans="1:9" s="4" customFormat="1" ht="38.1" customHeight="1" outlineLevel="1" x14ac:dyDescent="0.2">
      <c r="A1849" s="5" t="s">
        <v>340</v>
      </c>
      <c r="B1849" s="5" t="s">
        <v>345</v>
      </c>
      <c r="C1849" s="5" t="s">
        <v>1896</v>
      </c>
      <c r="D1849" s="5" t="s">
        <v>347</v>
      </c>
      <c r="E1849" s="5" t="s">
        <v>348</v>
      </c>
      <c r="F1849" s="5" t="s">
        <v>16</v>
      </c>
      <c r="G1849" s="6">
        <v>15120</v>
      </c>
      <c r="H1849" s="1842" t="str">
        <f>HYPERLINK("https://adv-map.ru/place/?LINK=9b3690f2183c60125ffbc70612e6815d","Ссылка")</f>
        <v>Ссылка</v>
      </c>
      <c r="I1849" s="5" t="s">
        <v>1897</v>
      </c>
    </row>
    <row r="1850" spans="1:9" s="4" customFormat="1" ht="38.1" customHeight="1" outlineLevel="1" x14ac:dyDescent="0.2">
      <c r="A1850" s="5" t="s">
        <v>340</v>
      </c>
      <c r="B1850" s="5" t="s">
        <v>345</v>
      </c>
      <c r="C1850" s="5" t="s">
        <v>1898</v>
      </c>
      <c r="D1850" s="5" t="s">
        <v>405</v>
      </c>
      <c r="E1850" s="5" t="s">
        <v>348</v>
      </c>
      <c r="F1850" s="5" t="s">
        <v>14</v>
      </c>
      <c r="G1850" s="6">
        <v>25200</v>
      </c>
      <c r="H1850" s="1843" t="str">
        <f>HYPERLINK("https://adv-map.ru/place/?LINK=e399a7757010cfc625f02f24c4902ea7","Ссылка")</f>
        <v>Ссылка</v>
      </c>
      <c r="I1850" s="5" t="s">
        <v>1899</v>
      </c>
    </row>
    <row r="1851" spans="1:9" s="4" customFormat="1" ht="38.1" customHeight="1" outlineLevel="1" x14ac:dyDescent="0.2">
      <c r="A1851" s="5" t="s">
        <v>340</v>
      </c>
      <c r="B1851" s="5" t="s">
        <v>345</v>
      </c>
      <c r="C1851" s="5" t="s">
        <v>1898</v>
      </c>
      <c r="D1851" s="5" t="s">
        <v>405</v>
      </c>
      <c r="E1851" s="5" t="s">
        <v>348</v>
      </c>
      <c r="F1851" s="5" t="s">
        <v>16</v>
      </c>
      <c r="G1851" s="6">
        <v>22680</v>
      </c>
      <c r="H1851" s="1844" t="str">
        <f>HYPERLINK("https://adv-map.ru/place/?LINK=d772dff90d4a7923a6150bc4968fe7da","Ссылка")</f>
        <v>Ссылка</v>
      </c>
      <c r="I1851" s="5" t="s">
        <v>1899</v>
      </c>
    </row>
    <row r="1852" spans="1:9" s="4" customFormat="1" ht="38.1" customHeight="1" outlineLevel="1" x14ac:dyDescent="0.2">
      <c r="A1852" s="5" t="s">
        <v>340</v>
      </c>
      <c r="B1852" s="5" t="s">
        <v>345</v>
      </c>
      <c r="C1852" s="5" t="s">
        <v>1900</v>
      </c>
      <c r="D1852" s="5" t="s">
        <v>347</v>
      </c>
      <c r="E1852" s="5" t="s">
        <v>348</v>
      </c>
      <c r="F1852" s="5" t="s">
        <v>14</v>
      </c>
      <c r="G1852" s="6">
        <v>25200</v>
      </c>
      <c r="H1852" s="1845" t="str">
        <f>HYPERLINK("https://adv-map.ru/place/?LINK=bd762e0015e0870aae665daf7c10a6c6","Ссылка")</f>
        <v>Ссылка</v>
      </c>
      <c r="I1852" s="5" t="s">
        <v>1901</v>
      </c>
    </row>
    <row r="1853" spans="1:9" s="4" customFormat="1" ht="38.1" customHeight="1" outlineLevel="1" x14ac:dyDescent="0.2">
      <c r="A1853" s="5" t="s">
        <v>340</v>
      </c>
      <c r="B1853" s="5" t="s">
        <v>345</v>
      </c>
      <c r="C1853" s="5" t="s">
        <v>1900</v>
      </c>
      <c r="D1853" s="5" t="s">
        <v>347</v>
      </c>
      <c r="E1853" s="5" t="s">
        <v>348</v>
      </c>
      <c r="F1853" s="5" t="s">
        <v>16</v>
      </c>
      <c r="G1853" s="6">
        <v>22680</v>
      </c>
      <c r="H1853" s="1846" t="str">
        <f>HYPERLINK("https://adv-map.ru/place/?LINK=af9a850b81957f99a1ace31482ff434c","Ссылка")</f>
        <v>Ссылка</v>
      </c>
      <c r="I1853" s="5" t="s">
        <v>1901</v>
      </c>
    </row>
    <row r="1854" spans="1:9" s="4" customFormat="1" ht="38.1" customHeight="1" outlineLevel="1" x14ac:dyDescent="0.2">
      <c r="A1854" s="5" t="s">
        <v>340</v>
      </c>
      <c r="B1854" s="5" t="s">
        <v>345</v>
      </c>
      <c r="C1854" s="5" t="s">
        <v>1902</v>
      </c>
      <c r="D1854" s="5" t="s">
        <v>347</v>
      </c>
      <c r="E1854" s="5" t="s">
        <v>348</v>
      </c>
      <c r="F1854" s="5" t="s">
        <v>14</v>
      </c>
      <c r="G1854" s="6">
        <v>25200</v>
      </c>
      <c r="H1854" s="1847" t="str">
        <f>HYPERLINK("https://adv-map.ru/place/?LINK=39b1cb5f5cd14ec38b201012c3720014","Ссылка")</f>
        <v>Ссылка</v>
      </c>
      <c r="I1854" s="5" t="s">
        <v>1903</v>
      </c>
    </row>
    <row r="1855" spans="1:9" s="4" customFormat="1" ht="38.1" customHeight="1" outlineLevel="1" x14ac:dyDescent="0.2">
      <c r="A1855" s="5" t="s">
        <v>340</v>
      </c>
      <c r="B1855" s="5" t="s">
        <v>345</v>
      </c>
      <c r="C1855" s="5" t="s">
        <v>1902</v>
      </c>
      <c r="D1855" s="5" t="s">
        <v>347</v>
      </c>
      <c r="E1855" s="5" t="s">
        <v>348</v>
      </c>
      <c r="F1855" s="5" t="s">
        <v>16</v>
      </c>
      <c r="G1855" s="6">
        <v>22050</v>
      </c>
      <c r="H1855" s="1848" t="str">
        <f>HYPERLINK("https://adv-map.ru/place/?LINK=98d59362a50811433907e8d8f7dad65c","Ссылка")</f>
        <v>Ссылка</v>
      </c>
      <c r="I1855" s="5" t="s">
        <v>1903</v>
      </c>
    </row>
    <row r="1856" spans="1:9" s="4" customFormat="1" ht="38.1" customHeight="1" outlineLevel="1" x14ac:dyDescent="0.2">
      <c r="A1856" s="5" t="s">
        <v>340</v>
      </c>
      <c r="B1856" s="5" t="s">
        <v>345</v>
      </c>
      <c r="C1856" s="5" t="s">
        <v>1904</v>
      </c>
      <c r="D1856" s="5" t="s">
        <v>347</v>
      </c>
      <c r="E1856" s="5" t="s">
        <v>348</v>
      </c>
      <c r="F1856" s="5" t="s">
        <v>14</v>
      </c>
      <c r="G1856" s="6">
        <v>25200</v>
      </c>
      <c r="H1856" s="1849" t="str">
        <f>HYPERLINK("https://adv-map.ru/place/?LINK=312bc4b3f9e84c3699546364a061c1c6","Ссылка")</f>
        <v>Ссылка</v>
      </c>
      <c r="I1856" s="5" t="s">
        <v>1905</v>
      </c>
    </row>
    <row r="1857" spans="1:9" s="4" customFormat="1" ht="51" customHeight="1" outlineLevel="1" x14ac:dyDescent="0.2">
      <c r="A1857" s="5" t="s">
        <v>340</v>
      </c>
      <c r="B1857" s="5" t="s">
        <v>345</v>
      </c>
      <c r="C1857" s="5" t="s">
        <v>1904</v>
      </c>
      <c r="D1857" s="5" t="s">
        <v>347</v>
      </c>
      <c r="E1857" s="5" t="s">
        <v>348</v>
      </c>
      <c r="F1857" s="5" t="s">
        <v>16</v>
      </c>
      <c r="G1857" s="6">
        <v>22680</v>
      </c>
      <c r="H1857" s="1850" t="str">
        <f>HYPERLINK("https://adv-map.ru/place/?LINK=c683d8ae58b45da82d2ea646481a078e","Ссылка")</f>
        <v>Ссылка</v>
      </c>
      <c r="I1857" s="5" t="s">
        <v>1905</v>
      </c>
    </row>
    <row r="1858" spans="1:9" s="4" customFormat="1" ht="38.1" customHeight="1" outlineLevel="1" x14ac:dyDescent="0.2">
      <c r="A1858" s="5" t="s">
        <v>340</v>
      </c>
      <c r="B1858" s="5" t="s">
        <v>345</v>
      </c>
      <c r="C1858" s="5" t="s">
        <v>1906</v>
      </c>
      <c r="D1858" s="5" t="s">
        <v>347</v>
      </c>
      <c r="E1858" s="5" t="s">
        <v>348</v>
      </c>
      <c r="F1858" s="5" t="s">
        <v>14</v>
      </c>
      <c r="G1858" s="6">
        <v>25200</v>
      </c>
      <c r="H1858" s="1851" t="str">
        <f>HYPERLINK("https://adv-map.ru/place/?LINK=c73576df5fd3387800b47264a6914ff8","Ссылка")</f>
        <v>Ссылка</v>
      </c>
      <c r="I1858" s="5" t="s">
        <v>1907</v>
      </c>
    </row>
    <row r="1859" spans="1:9" s="4" customFormat="1" ht="38.1" customHeight="1" outlineLevel="1" x14ac:dyDescent="0.2">
      <c r="A1859" s="5" t="s">
        <v>340</v>
      </c>
      <c r="B1859" s="5" t="s">
        <v>345</v>
      </c>
      <c r="C1859" s="5" t="s">
        <v>1906</v>
      </c>
      <c r="D1859" s="5" t="s">
        <v>347</v>
      </c>
      <c r="E1859" s="5" t="s">
        <v>348</v>
      </c>
      <c r="F1859" s="5" t="s">
        <v>16</v>
      </c>
      <c r="G1859" s="6">
        <v>22680</v>
      </c>
      <c r="H1859" s="1852" t="str">
        <f>HYPERLINK("https://adv-map.ru/place/?LINK=ebb8025a2898ce5ec34b98d095aefaae","Ссылка")</f>
        <v>Ссылка</v>
      </c>
      <c r="I1859" s="5" t="s">
        <v>1907</v>
      </c>
    </row>
    <row r="1860" spans="1:9" s="4" customFormat="1" ht="38.1" customHeight="1" outlineLevel="1" x14ac:dyDescent="0.2">
      <c r="A1860" s="5" t="s">
        <v>340</v>
      </c>
      <c r="B1860" s="5" t="s">
        <v>345</v>
      </c>
      <c r="C1860" s="5" t="s">
        <v>1908</v>
      </c>
      <c r="D1860" s="5" t="s">
        <v>347</v>
      </c>
      <c r="E1860" s="5" t="s">
        <v>348</v>
      </c>
      <c r="F1860" s="5" t="s">
        <v>14</v>
      </c>
      <c r="G1860" s="6">
        <v>25200</v>
      </c>
      <c r="H1860" s="1853" t="str">
        <f>HYPERLINK("https://adv-map.ru/place/?LINK=195ca4d4e6012b6b68fe63a241de2f5f","Ссылка")</f>
        <v>Ссылка</v>
      </c>
      <c r="I1860" s="5" t="s">
        <v>1909</v>
      </c>
    </row>
    <row r="1861" spans="1:9" s="4" customFormat="1" ht="38.1" customHeight="1" outlineLevel="1" x14ac:dyDescent="0.2">
      <c r="A1861" s="5" t="s">
        <v>340</v>
      </c>
      <c r="B1861" s="5" t="s">
        <v>345</v>
      </c>
      <c r="C1861" s="5" t="s">
        <v>1908</v>
      </c>
      <c r="D1861" s="5" t="s">
        <v>347</v>
      </c>
      <c r="E1861" s="5" t="s">
        <v>348</v>
      </c>
      <c r="F1861" s="5" t="s">
        <v>16</v>
      </c>
      <c r="G1861" s="6">
        <v>22680</v>
      </c>
      <c r="H1861" s="1854" t="str">
        <f>HYPERLINK("https://adv-map.ru/place/?LINK=d08b7658ee9e896de46939fca62d1eed","Ссылка")</f>
        <v>Ссылка</v>
      </c>
      <c r="I1861" s="5" t="s">
        <v>1909</v>
      </c>
    </row>
    <row r="1862" spans="1:9" s="4" customFormat="1" ht="38.1" customHeight="1" outlineLevel="1" x14ac:dyDescent="0.2">
      <c r="A1862" s="5" t="s">
        <v>340</v>
      </c>
      <c r="B1862" s="5" t="s">
        <v>345</v>
      </c>
      <c r="C1862" s="5" t="s">
        <v>1910</v>
      </c>
      <c r="D1862" s="5" t="s">
        <v>12</v>
      </c>
      <c r="E1862" s="5" t="s">
        <v>13</v>
      </c>
      <c r="F1862" s="5" t="s">
        <v>14</v>
      </c>
      <c r="G1862" s="6">
        <v>45000</v>
      </c>
      <c r="H1862" s="1855" t="str">
        <f>HYPERLINK("https://adv-map.ru/place/?LINK=f99519cdb7bd020e1e8a2b4a61d4af59","Ссылка")</f>
        <v>Ссылка</v>
      </c>
      <c r="I1862" s="5" t="s">
        <v>1911</v>
      </c>
    </row>
    <row r="1863" spans="1:9" s="4" customFormat="1" ht="38.1" customHeight="1" outlineLevel="1" x14ac:dyDescent="0.2">
      <c r="A1863" s="5" t="s">
        <v>340</v>
      </c>
      <c r="B1863" s="5" t="s">
        <v>345</v>
      </c>
      <c r="C1863" s="5" t="s">
        <v>1910</v>
      </c>
      <c r="D1863" s="5" t="s">
        <v>49</v>
      </c>
      <c r="E1863" s="5" t="s">
        <v>13</v>
      </c>
      <c r="F1863" s="5" t="s">
        <v>28</v>
      </c>
      <c r="G1863" s="6">
        <v>45000</v>
      </c>
      <c r="H1863" s="1856" t="str">
        <f>HYPERLINK("https://adv-map.ru/place/?LINK=74069c44ba9e9960409ccd1613faf359","Ссылка")</f>
        <v>Ссылка</v>
      </c>
      <c r="I1863" s="5" t="s">
        <v>1911</v>
      </c>
    </row>
    <row r="1864" spans="1:9" s="4" customFormat="1" ht="38.1" customHeight="1" outlineLevel="1" x14ac:dyDescent="0.2">
      <c r="A1864" s="5" t="s">
        <v>340</v>
      </c>
      <c r="B1864" s="5" t="s">
        <v>345</v>
      </c>
      <c r="C1864" s="5" t="s">
        <v>1910</v>
      </c>
      <c r="D1864" s="5" t="s">
        <v>49</v>
      </c>
      <c r="E1864" s="5" t="s">
        <v>13</v>
      </c>
      <c r="F1864" s="5" t="s">
        <v>30</v>
      </c>
      <c r="G1864" s="6">
        <v>45000</v>
      </c>
      <c r="H1864" s="1857" t="str">
        <f>HYPERLINK("https://adv-map.ru/place/?LINK=674b1f19f3ef0735f4373194382d335e","Ссылка")</f>
        <v>Ссылка</v>
      </c>
      <c r="I1864" s="5" t="s">
        <v>1911</v>
      </c>
    </row>
    <row r="1865" spans="1:9" s="4" customFormat="1" ht="38.1" customHeight="1" outlineLevel="1" x14ac:dyDescent="0.2">
      <c r="A1865" s="5" t="s">
        <v>340</v>
      </c>
      <c r="B1865" s="5" t="s">
        <v>345</v>
      </c>
      <c r="C1865" s="5" t="s">
        <v>1910</v>
      </c>
      <c r="D1865" s="5" t="s">
        <v>49</v>
      </c>
      <c r="E1865" s="5" t="s">
        <v>13</v>
      </c>
      <c r="F1865" s="5" t="s">
        <v>31</v>
      </c>
      <c r="G1865" s="6">
        <v>45000</v>
      </c>
      <c r="H1865" s="1858" t="str">
        <f>HYPERLINK("https://adv-map.ru/place/?LINK=0f48eb6d46200225346154ed9cbeb6a0","Ссылка")</f>
        <v>Ссылка</v>
      </c>
      <c r="I1865" s="5" t="s">
        <v>1911</v>
      </c>
    </row>
    <row r="1866" spans="1:9" s="4" customFormat="1" ht="38.1" customHeight="1" outlineLevel="1" x14ac:dyDescent="0.2">
      <c r="A1866" s="5" t="s">
        <v>340</v>
      </c>
      <c r="B1866" s="5" t="s">
        <v>345</v>
      </c>
      <c r="C1866" s="5" t="s">
        <v>1910</v>
      </c>
      <c r="D1866" s="5" t="s">
        <v>12</v>
      </c>
      <c r="E1866" s="5" t="s">
        <v>13</v>
      </c>
      <c r="F1866" s="5" t="s">
        <v>16</v>
      </c>
      <c r="G1866" s="6">
        <v>35200</v>
      </c>
      <c r="H1866" s="1859" t="str">
        <f>HYPERLINK("https://adv-map.ru/place/?LINK=8548711c9b9eb411da42572c36cfe6fe","Ссылка")</f>
        <v>Ссылка</v>
      </c>
      <c r="I1866" s="5" t="s">
        <v>1911</v>
      </c>
    </row>
    <row r="1867" spans="1:9" s="4" customFormat="1" ht="38.1" customHeight="1" outlineLevel="1" x14ac:dyDescent="0.2">
      <c r="A1867" s="5" t="s">
        <v>340</v>
      </c>
      <c r="B1867" s="5" t="s">
        <v>345</v>
      </c>
      <c r="C1867" s="5" t="s">
        <v>1912</v>
      </c>
      <c r="D1867" s="5" t="s">
        <v>396</v>
      </c>
      <c r="E1867" s="5" t="s">
        <v>397</v>
      </c>
      <c r="F1867" s="5" t="s">
        <v>28</v>
      </c>
      <c r="G1867" s="6">
        <v>35280</v>
      </c>
      <c r="H1867" s="1860" t="str">
        <f>HYPERLINK("https://adv-map.ru/place/?LINK=0a10beec1307de45457d7a15b3243f8e","Ссылка")</f>
        <v>Ссылка</v>
      </c>
      <c r="I1867" s="5" t="s">
        <v>1913</v>
      </c>
    </row>
    <row r="1868" spans="1:9" s="4" customFormat="1" ht="38.1" customHeight="1" outlineLevel="1" x14ac:dyDescent="0.2">
      <c r="A1868" s="5" t="s">
        <v>340</v>
      </c>
      <c r="B1868" s="5" t="s">
        <v>345</v>
      </c>
      <c r="C1868" s="5" t="s">
        <v>1912</v>
      </c>
      <c r="D1868" s="5" t="s">
        <v>396</v>
      </c>
      <c r="E1868" s="5" t="s">
        <v>397</v>
      </c>
      <c r="F1868" s="5" t="s">
        <v>30</v>
      </c>
      <c r="G1868" s="6">
        <v>30240</v>
      </c>
      <c r="H1868" s="1861" t="str">
        <f>HYPERLINK("https://adv-map.ru/place/?LINK=b2a0bfcb0b8e2d64253dc98fc64405bf","Ссылка")</f>
        <v>Ссылка</v>
      </c>
      <c r="I1868" s="5" t="s">
        <v>1913</v>
      </c>
    </row>
    <row r="1869" spans="1:9" s="4" customFormat="1" ht="38.1" customHeight="1" outlineLevel="1" x14ac:dyDescent="0.2">
      <c r="A1869" s="5" t="s">
        <v>340</v>
      </c>
      <c r="B1869" s="5" t="s">
        <v>345</v>
      </c>
      <c r="C1869" s="5" t="s">
        <v>1912</v>
      </c>
      <c r="D1869" s="5" t="s">
        <v>396</v>
      </c>
      <c r="E1869" s="5" t="s">
        <v>397</v>
      </c>
      <c r="F1869" s="5" t="s">
        <v>31</v>
      </c>
      <c r="G1869" s="6">
        <v>25200</v>
      </c>
      <c r="H1869" s="1862" t="str">
        <f>HYPERLINK("https://adv-map.ru/place/?LINK=0e8407f6c09a42213891c5b8734a24c0","Ссылка")</f>
        <v>Ссылка</v>
      </c>
      <c r="I1869" s="5" t="s">
        <v>1913</v>
      </c>
    </row>
    <row r="1870" spans="1:9" s="4" customFormat="1" ht="38.1" customHeight="1" outlineLevel="1" x14ac:dyDescent="0.2">
      <c r="A1870" s="5" t="s">
        <v>340</v>
      </c>
      <c r="B1870" s="5" t="s">
        <v>345</v>
      </c>
      <c r="C1870" s="5" t="s">
        <v>1914</v>
      </c>
      <c r="D1870" s="5" t="s">
        <v>347</v>
      </c>
      <c r="E1870" s="5" t="s">
        <v>348</v>
      </c>
      <c r="F1870" s="5" t="s">
        <v>14</v>
      </c>
      <c r="G1870" s="6">
        <v>25200</v>
      </c>
      <c r="H1870" s="1863" t="str">
        <f>HYPERLINK("https://adv-map.ru/place/?LINK=83d0aa9e5957b4cafbc56c4f3ac40c97","Ссылка")</f>
        <v>Ссылка</v>
      </c>
      <c r="I1870" s="5" t="s">
        <v>1915</v>
      </c>
    </row>
    <row r="1871" spans="1:9" s="4" customFormat="1" ht="38.1" customHeight="1" outlineLevel="1" x14ac:dyDescent="0.2">
      <c r="A1871" s="5" t="s">
        <v>340</v>
      </c>
      <c r="B1871" s="5" t="s">
        <v>345</v>
      </c>
      <c r="C1871" s="5" t="s">
        <v>1914</v>
      </c>
      <c r="D1871" s="5" t="s">
        <v>347</v>
      </c>
      <c r="E1871" s="5" t="s">
        <v>348</v>
      </c>
      <c r="F1871" s="5" t="s">
        <v>16</v>
      </c>
      <c r="G1871" s="6">
        <v>20160</v>
      </c>
      <c r="H1871" s="1864" t="str">
        <f>HYPERLINK("https://adv-map.ru/place/?LINK=7b3b8d3f631b30acc6a2487aa479e1f9","Ссылка")</f>
        <v>Ссылка</v>
      </c>
      <c r="I1871" s="5" t="s">
        <v>1915</v>
      </c>
    </row>
    <row r="1872" spans="1:9" s="4" customFormat="1" ht="38.1" customHeight="1" outlineLevel="1" x14ac:dyDescent="0.2">
      <c r="A1872" s="5" t="s">
        <v>340</v>
      </c>
      <c r="B1872" s="5" t="s">
        <v>345</v>
      </c>
      <c r="C1872" s="5" t="s">
        <v>1916</v>
      </c>
      <c r="D1872" s="5" t="s">
        <v>347</v>
      </c>
      <c r="E1872" s="5" t="s">
        <v>348</v>
      </c>
      <c r="F1872" s="5" t="s">
        <v>14</v>
      </c>
      <c r="G1872" s="6">
        <v>25200</v>
      </c>
      <c r="H1872" s="1865" t="str">
        <f>HYPERLINK("https://adv-map.ru/place/?LINK=33028569d5ecee704faf4bc384fd0373","Ссылка")</f>
        <v>Ссылка</v>
      </c>
      <c r="I1872" s="5" t="s">
        <v>1917</v>
      </c>
    </row>
    <row r="1873" spans="1:9" s="4" customFormat="1" ht="38.1" customHeight="1" outlineLevel="1" x14ac:dyDescent="0.2">
      <c r="A1873" s="5" t="s">
        <v>340</v>
      </c>
      <c r="B1873" s="5" t="s">
        <v>345</v>
      </c>
      <c r="C1873" s="5" t="s">
        <v>1916</v>
      </c>
      <c r="D1873" s="5" t="s">
        <v>347</v>
      </c>
      <c r="E1873" s="5" t="s">
        <v>348</v>
      </c>
      <c r="F1873" s="5" t="s">
        <v>16</v>
      </c>
      <c r="G1873" s="6">
        <v>20160</v>
      </c>
      <c r="H1873" s="1866" t="str">
        <f>HYPERLINK("https://adv-map.ru/place/?LINK=52b611d053642b568faa22edc297e08d","Ссылка")</f>
        <v>Ссылка</v>
      </c>
      <c r="I1873" s="5" t="s">
        <v>1917</v>
      </c>
    </row>
    <row r="1874" spans="1:9" s="4" customFormat="1" ht="38.1" customHeight="1" outlineLevel="1" x14ac:dyDescent="0.2">
      <c r="A1874" s="5" t="s">
        <v>340</v>
      </c>
      <c r="B1874" s="5" t="s">
        <v>345</v>
      </c>
      <c r="C1874" s="5" t="s">
        <v>1918</v>
      </c>
      <c r="D1874" s="5" t="s">
        <v>347</v>
      </c>
      <c r="E1874" s="5" t="s">
        <v>348</v>
      </c>
      <c r="F1874" s="5" t="s">
        <v>14</v>
      </c>
      <c r="G1874" s="6">
        <v>25200</v>
      </c>
      <c r="H1874" s="1867" t="str">
        <f>HYPERLINK("https://adv-map.ru/place/?LINK=44b4139250b6ac83b3e0672bac598eb0","Ссылка")</f>
        <v>Ссылка</v>
      </c>
      <c r="I1874" s="5" t="s">
        <v>1919</v>
      </c>
    </row>
    <row r="1875" spans="1:9" s="4" customFormat="1" ht="38.1" customHeight="1" outlineLevel="1" x14ac:dyDescent="0.2">
      <c r="A1875" s="5" t="s">
        <v>340</v>
      </c>
      <c r="B1875" s="5" t="s">
        <v>345</v>
      </c>
      <c r="C1875" s="5" t="s">
        <v>1918</v>
      </c>
      <c r="D1875" s="5" t="s">
        <v>347</v>
      </c>
      <c r="E1875" s="5" t="s">
        <v>348</v>
      </c>
      <c r="F1875" s="5" t="s">
        <v>16</v>
      </c>
      <c r="G1875" s="6">
        <v>22680</v>
      </c>
      <c r="H1875" s="1868" t="str">
        <f>HYPERLINK("https://adv-map.ru/place/?LINK=3c3ede9800fefb844da2f4b1757bf3a3","Ссылка")</f>
        <v>Ссылка</v>
      </c>
      <c r="I1875" s="5" t="s">
        <v>1919</v>
      </c>
    </row>
    <row r="1876" spans="1:9" s="4" customFormat="1" ht="38.1" customHeight="1" outlineLevel="1" x14ac:dyDescent="0.2">
      <c r="A1876" s="5" t="s">
        <v>340</v>
      </c>
      <c r="B1876" s="5" t="s">
        <v>345</v>
      </c>
      <c r="C1876" s="5" t="s">
        <v>1920</v>
      </c>
      <c r="D1876" s="5" t="s">
        <v>396</v>
      </c>
      <c r="E1876" s="5" t="s">
        <v>397</v>
      </c>
      <c r="F1876" s="5" t="s">
        <v>28</v>
      </c>
      <c r="G1876" s="6">
        <v>35280</v>
      </c>
      <c r="H1876" s="1869" t="str">
        <f>HYPERLINK("https://adv-map.ru/place/?LINK=63d796ab19b4f22ccb42f80cd3d3e026","Ссылка")</f>
        <v>Ссылка</v>
      </c>
      <c r="I1876" s="5" t="s">
        <v>1921</v>
      </c>
    </row>
    <row r="1877" spans="1:9" s="4" customFormat="1" ht="38.1" customHeight="1" outlineLevel="1" x14ac:dyDescent="0.2">
      <c r="A1877" s="5" t="s">
        <v>340</v>
      </c>
      <c r="B1877" s="5" t="s">
        <v>345</v>
      </c>
      <c r="C1877" s="5" t="s">
        <v>1920</v>
      </c>
      <c r="D1877" s="5" t="s">
        <v>396</v>
      </c>
      <c r="E1877" s="5" t="s">
        <v>397</v>
      </c>
      <c r="F1877" s="5" t="s">
        <v>30</v>
      </c>
      <c r="G1877" s="6">
        <v>30240</v>
      </c>
      <c r="H1877" s="1870" t="str">
        <f>HYPERLINK("https://adv-map.ru/place/?LINK=30d1ea28a9e9a2dd43e5fa32003d02cc","Ссылка")</f>
        <v>Ссылка</v>
      </c>
      <c r="I1877" s="5" t="s">
        <v>1921</v>
      </c>
    </row>
    <row r="1878" spans="1:9" s="4" customFormat="1" ht="38.1" customHeight="1" outlineLevel="1" x14ac:dyDescent="0.2">
      <c r="A1878" s="5" t="s">
        <v>340</v>
      </c>
      <c r="B1878" s="5" t="s">
        <v>345</v>
      </c>
      <c r="C1878" s="5" t="s">
        <v>1920</v>
      </c>
      <c r="D1878" s="5" t="s">
        <v>396</v>
      </c>
      <c r="E1878" s="5" t="s">
        <v>397</v>
      </c>
      <c r="F1878" s="5" t="s">
        <v>31</v>
      </c>
      <c r="G1878" s="6">
        <v>25200</v>
      </c>
      <c r="H1878" s="1871" t="str">
        <f>HYPERLINK("https://adv-map.ru/place/?LINK=62288ef8360bb5c1ccf37c2ceb266796","Ссылка")</f>
        <v>Ссылка</v>
      </c>
      <c r="I1878" s="5" t="s">
        <v>1921</v>
      </c>
    </row>
    <row r="1879" spans="1:9" s="4" customFormat="1" ht="38.1" customHeight="1" outlineLevel="1" x14ac:dyDescent="0.2">
      <c r="A1879" s="5" t="s">
        <v>340</v>
      </c>
      <c r="B1879" s="5" t="s">
        <v>134</v>
      </c>
      <c r="C1879" s="5" t="s">
        <v>1922</v>
      </c>
      <c r="D1879" s="5" t="s">
        <v>12</v>
      </c>
      <c r="E1879" s="5" t="s">
        <v>13</v>
      </c>
      <c r="F1879" s="5" t="s">
        <v>16</v>
      </c>
      <c r="G1879" s="6">
        <v>25200</v>
      </c>
      <c r="H1879" s="1872" t="str">
        <f>HYPERLINK("https://adv-map.ru/place/?LINK=86ee59929a29366f06fe3e401aa6fd91","Ссылка")</f>
        <v>Ссылка</v>
      </c>
      <c r="I1879" s="5" t="s">
        <v>1923</v>
      </c>
    </row>
    <row r="1880" spans="1:9" s="4" customFormat="1" ht="38.1" customHeight="1" outlineLevel="1" x14ac:dyDescent="0.2">
      <c r="A1880" s="5" t="s">
        <v>340</v>
      </c>
      <c r="B1880" s="5" t="s">
        <v>134</v>
      </c>
      <c r="C1880" s="5" t="s">
        <v>1924</v>
      </c>
      <c r="D1880" s="5" t="s">
        <v>12</v>
      </c>
      <c r="E1880" s="5" t="s">
        <v>13</v>
      </c>
      <c r="F1880" s="5" t="s">
        <v>14</v>
      </c>
      <c r="G1880" s="6">
        <v>31500</v>
      </c>
      <c r="H1880" s="1873" t="str">
        <f>HYPERLINK("https://adv-map.ru/place/?LINK=861118589a69a6e72576a6e61e08df27","Ссылка")</f>
        <v>Ссылка</v>
      </c>
      <c r="I1880" s="5" t="s">
        <v>1923</v>
      </c>
    </row>
    <row r="1881" spans="1:9" s="4" customFormat="1" ht="38.1" customHeight="1" outlineLevel="1" x14ac:dyDescent="0.2">
      <c r="A1881" s="5" t="s">
        <v>340</v>
      </c>
      <c r="B1881" s="5" t="s">
        <v>134</v>
      </c>
      <c r="C1881" s="5" t="s">
        <v>1925</v>
      </c>
      <c r="D1881" s="5" t="s">
        <v>12</v>
      </c>
      <c r="E1881" s="5" t="s">
        <v>13</v>
      </c>
      <c r="F1881" s="5" t="s">
        <v>14</v>
      </c>
      <c r="G1881" s="6">
        <v>42000</v>
      </c>
      <c r="H1881" s="1874" t="str">
        <f>HYPERLINK("https://adv-map.ru/place/?LINK=8bcf51d09bcd8edc28ec340bfc9b2c85","Ссылка")</f>
        <v>Ссылка</v>
      </c>
      <c r="I1881" s="5" t="s">
        <v>1926</v>
      </c>
    </row>
    <row r="1882" spans="1:9" s="4" customFormat="1" ht="38.1" customHeight="1" outlineLevel="1" x14ac:dyDescent="0.2">
      <c r="A1882" s="5" t="s">
        <v>340</v>
      </c>
      <c r="B1882" s="5" t="s">
        <v>134</v>
      </c>
      <c r="C1882" s="5" t="s">
        <v>1925</v>
      </c>
      <c r="D1882" s="5" t="s">
        <v>12</v>
      </c>
      <c r="E1882" s="5" t="s">
        <v>13</v>
      </c>
      <c r="F1882" s="5" t="s">
        <v>16</v>
      </c>
      <c r="G1882" s="6">
        <v>26250</v>
      </c>
      <c r="H1882" s="1875" t="str">
        <f>HYPERLINK("https://adv-map.ru/place/?LINK=a96c4bd0cf345f5d0094be112653d778","Ссылка")</f>
        <v>Ссылка</v>
      </c>
      <c r="I1882" s="5" t="s">
        <v>1926</v>
      </c>
    </row>
    <row r="1883" spans="1:9" s="4" customFormat="1" ht="38.1" customHeight="1" outlineLevel="1" x14ac:dyDescent="0.2">
      <c r="A1883" s="5" t="s">
        <v>340</v>
      </c>
      <c r="B1883" s="5" t="s">
        <v>134</v>
      </c>
      <c r="C1883" s="5" t="s">
        <v>1927</v>
      </c>
      <c r="D1883" s="5" t="s">
        <v>12</v>
      </c>
      <c r="E1883" s="5" t="s">
        <v>13</v>
      </c>
      <c r="F1883" s="5" t="s">
        <v>14</v>
      </c>
      <c r="G1883" s="6">
        <v>42000</v>
      </c>
      <c r="H1883" s="1876" t="str">
        <f>HYPERLINK("https://adv-map.ru/place/?LINK=1a60597ce0c3fb3f6d5a052f8e20342e","Ссылка")</f>
        <v>Ссылка</v>
      </c>
      <c r="I1883" s="5" t="s">
        <v>1928</v>
      </c>
    </row>
    <row r="1884" spans="1:9" s="4" customFormat="1" ht="38.1" customHeight="1" outlineLevel="1" x14ac:dyDescent="0.2">
      <c r="A1884" s="5" t="s">
        <v>340</v>
      </c>
      <c r="B1884" s="5" t="s">
        <v>134</v>
      </c>
      <c r="C1884" s="5" t="s">
        <v>1927</v>
      </c>
      <c r="D1884" s="5" t="s">
        <v>12</v>
      </c>
      <c r="E1884" s="5" t="s">
        <v>13</v>
      </c>
      <c r="F1884" s="5" t="s">
        <v>16</v>
      </c>
      <c r="G1884" s="6">
        <v>26250</v>
      </c>
      <c r="H1884" s="1877" t="str">
        <f>HYPERLINK("https://adv-map.ru/place/?LINK=6f264b070a9ec526e18a867d90530b49","Ссылка")</f>
        <v>Ссылка</v>
      </c>
      <c r="I1884" s="5" t="s">
        <v>1928</v>
      </c>
    </row>
    <row r="1885" spans="1:9" s="4" customFormat="1" ht="51" customHeight="1" outlineLevel="1" x14ac:dyDescent="0.2">
      <c r="A1885" s="5" t="s">
        <v>340</v>
      </c>
      <c r="B1885" s="5" t="s">
        <v>134</v>
      </c>
      <c r="C1885" s="5" t="s">
        <v>1929</v>
      </c>
      <c r="D1885" s="5" t="s">
        <v>12</v>
      </c>
      <c r="E1885" s="5" t="s">
        <v>13</v>
      </c>
      <c r="F1885" s="5" t="s">
        <v>14</v>
      </c>
      <c r="G1885" s="6">
        <v>42000</v>
      </c>
      <c r="H1885" s="1878" t="str">
        <f>HYPERLINK("https://adv-map.ru/place/?LINK=fe4605365ed28e14a192ddb43041b074","Ссылка")</f>
        <v>Ссылка</v>
      </c>
      <c r="I1885" s="5" t="s">
        <v>1930</v>
      </c>
    </row>
    <row r="1886" spans="1:9" s="4" customFormat="1" ht="38.1" customHeight="1" outlineLevel="1" x14ac:dyDescent="0.2">
      <c r="A1886" s="5" t="s">
        <v>340</v>
      </c>
      <c r="B1886" s="5" t="s">
        <v>134</v>
      </c>
      <c r="C1886" s="5" t="s">
        <v>1929</v>
      </c>
      <c r="D1886" s="5" t="s">
        <v>12</v>
      </c>
      <c r="E1886" s="5" t="s">
        <v>13</v>
      </c>
      <c r="F1886" s="5" t="s">
        <v>16</v>
      </c>
      <c r="G1886" s="6">
        <v>26250</v>
      </c>
      <c r="H1886" s="1879" t="str">
        <f>HYPERLINK("https://adv-map.ru/place/?LINK=b5442bb992d8f73e9541c04a4a76d99b","Ссылка")</f>
        <v>Ссылка</v>
      </c>
      <c r="I1886" s="5" t="s">
        <v>1930</v>
      </c>
    </row>
    <row r="1887" spans="1:9" s="4" customFormat="1" ht="38.1" customHeight="1" outlineLevel="1" x14ac:dyDescent="0.2">
      <c r="A1887" s="5" t="s">
        <v>340</v>
      </c>
      <c r="B1887" s="5" t="s">
        <v>134</v>
      </c>
      <c r="C1887" s="5" t="s">
        <v>1931</v>
      </c>
      <c r="D1887" s="5" t="s">
        <v>12</v>
      </c>
      <c r="E1887" s="5" t="s">
        <v>13</v>
      </c>
      <c r="F1887" s="5" t="s">
        <v>14</v>
      </c>
      <c r="G1887" s="6">
        <v>42000</v>
      </c>
      <c r="H1887" s="1880" t="str">
        <f>HYPERLINK("https://adv-map.ru/place/?LINK=f07d18344c5570b558ce471ed1f23912","Ссылка")</f>
        <v>Ссылка</v>
      </c>
      <c r="I1887" s="5" t="s">
        <v>1932</v>
      </c>
    </row>
    <row r="1888" spans="1:9" s="4" customFormat="1" ht="38.1" customHeight="1" outlineLevel="1" x14ac:dyDescent="0.2">
      <c r="A1888" s="5" t="s">
        <v>340</v>
      </c>
      <c r="B1888" s="5" t="s">
        <v>134</v>
      </c>
      <c r="C1888" s="5" t="s">
        <v>1931</v>
      </c>
      <c r="D1888" s="5" t="s">
        <v>12</v>
      </c>
      <c r="E1888" s="5" t="s">
        <v>13</v>
      </c>
      <c r="F1888" s="5" t="s">
        <v>16</v>
      </c>
      <c r="G1888" s="6">
        <v>26250</v>
      </c>
      <c r="H1888" s="1881" t="str">
        <f>HYPERLINK("https://adv-map.ru/place/?LINK=92d0fe00faa8d2a2b06381f95272d416","Ссылка")</f>
        <v>Ссылка</v>
      </c>
      <c r="I1888" s="5" t="s">
        <v>1932</v>
      </c>
    </row>
    <row r="1889" spans="1:9" s="4" customFormat="1" ht="38.1" customHeight="1" outlineLevel="1" x14ac:dyDescent="0.2">
      <c r="A1889" s="5" t="s">
        <v>340</v>
      </c>
      <c r="B1889" s="5" t="s">
        <v>134</v>
      </c>
      <c r="C1889" s="5" t="s">
        <v>1933</v>
      </c>
      <c r="D1889" s="5" t="s">
        <v>12</v>
      </c>
      <c r="E1889" s="5" t="s">
        <v>13</v>
      </c>
      <c r="F1889" s="5" t="s">
        <v>14</v>
      </c>
      <c r="G1889" s="6">
        <v>42000</v>
      </c>
      <c r="H1889" s="1882" t="str">
        <f>HYPERLINK("https://adv-map.ru/place/?LINK=aadadf00fc35da94d9aa9849305f31e0","Ссылка")</f>
        <v>Ссылка</v>
      </c>
      <c r="I1889" s="5" t="s">
        <v>1934</v>
      </c>
    </row>
    <row r="1890" spans="1:9" s="4" customFormat="1" ht="38.1" customHeight="1" outlineLevel="1" x14ac:dyDescent="0.2">
      <c r="A1890" s="5" t="s">
        <v>340</v>
      </c>
      <c r="B1890" s="5" t="s">
        <v>134</v>
      </c>
      <c r="C1890" s="5" t="s">
        <v>1933</v>
      </c>
      <c r="D1890" s="5" t="s">
        <v>12</v>
      </c>
      <c r="E1890" s="5" t="s">
        <v>13</v>
      </c>
      <c r="F1890" s="5" t="s">
        <v>16</v>
      </c>
      <c r="G1890" s="6">
        <v>26250</v>
      </c>
      <c r="H1890" s="1883" t="str">
        <f>HYPERLINK("https://adv-map.ru/place/?LINK=07f919e9b73a09363cee5ff2c18c33ca","Ссылка")</f>
        <v>Ссылка</v>
      </c>
      <c r="I1890" s="5" t="s">
        <v>1934</v>
      </c>
    </row>
    <row r="1891" spans="1:9" s="4" customFormat="1" ht="38.1" customHeight="1" outlineLevel="1" x14ac:dyDescent="0.2">
      <c r="A1891" s="5" t="s">
        <v>340</v>
      </c>
      <c r="B1891" s="5" t="s">
        <v>354</v>
      </c>
      <c r="C1891" s="5" t="s">
        <v>1935</v>
      </c>
      <c r="D1891" s="5" t="s">
        <v>347</v>
      </c>
      <c r="E1891" s="5" t="s">
        <v>348</v>
      </c>
      <c r="F1891" s="5" t="s">
        <v>14</v>
      </c>
      <c r="G1891" s="6">
        <v>31500</v>
      </c>
      <c r="H1891" s="1884" t="str">
        <f>HYPERLINK("https://adv-map.ru/place/?LINK=c03eff2e0020445b578dbb82eb7cf6a5","Ссылка")</f>
        <v>Ссылка</v>
      </c>
      <c r="I1891" s="5" t="s">
        <v>1936</v>
      </c>
    </row>
    <row r="1892" spans="1:9" s="4" customFormat="1" ht="38.1" customHeight="1" outlineLevel="1" x14ac:dyDescent="0.2">
      <c r="A1892" s="5" t="s">
        <v>340</v>
      </c>
      <c r="B1892" s="5" t="s">
        <v>354</v>
      </c>
      <c r="C1892" s="5" t="s">
        <v>1935</v>
      </c>
      <c r="D1892" s="5" t="s">
        <v>347</v>
      </c>
      <c r="E1892" s="5" t="s">
        <v>348</v>
      </c>
      <c r="F1892" s="5" t="s">
        <v>16</v>
      </c>
      <c r="G1892" s="6">
        <v>25200</v>
      </c>
      <c r="H1892" s="1885" t="str">
        <f>HYPERLINK("https://adv-map.ru/place/?LINK=7bab27f6282e0eb3c53fda652b4d41d6","Ссылка")</f>
        <v>Ссылка</v>
      </c>
      <c r="I1892" s="5" t="s">
        <v>1936</v>
      </c>
    </row>
    <row r="1893" spans="1:9" s="4" customFormat="1" ht="38.1" customHeight="1" outlineLevel="1" x14ac:dyDescent="0.2">
      <c r="A1893" s="5" t="s">
        <v>340</v>
      </c>
      <c r="B1893" s="5" t="s">
        <v>134</v>
      </c>
      <c r="C1893" s="5" t="s">
        <v>1937</v>
      </c>
      <c r="D1893" s="5" t="s">
        <v>12</v>
      </c>
      <c r="E1893" s="5" t="s">
        <v>13</v>
      </c>
      <c r="F1893" s="5" t="s">
        <v>14</v>
      </c>
      <c r="G1893" s="6">
        <v>42000</v>
      </c>
      <c r="H1893" s="1886" t="str">
        <f>HYPERLINK("https://adv-map.ru/place/?LINK=a71efa6cf54b2e8b7bab4686cc919393","Ссылка")</f>
        <v>Ссылка</v>
      </c>
      <c r="I1893" s="5" t="s">
        <v>1938</v>
      </c>
    </row>
    <row r="1894" spans="1:9" s="4" customFormat="1" ht="38.1" customHeight="1" outlineLevel="1" x14ac:dyDescent="0.2">
      <c r="A1894" s="5" t="s">
        <v>340</v>
      </c>
      <c r="B1894" s="5" t="s">
        <v>134</v>
      </c>
      <c r="C1894" s="5" t="s">
        <v>1937</v>
      </c>
      <c r="D1894" s="5" t="s">
        <v>12</v>
      </c>
      <c r="E1894" s="5" t="s">
        <v>13</v>
      </c>
      <c r="F1894" s="5" t="s">
        <v>16</v>
      </c>
      <c r="G1894" s="6">
        <v>26250</v>
      </c>
      <c r="H1894" s="1887" t="str">
        <f>HYPERLINK("https://adv-map.ru/place/?LINK=6274356291ab536d50b2ec6876fd74c1","Ссылка")</f>
        <v>Ссылка</v>
      </c>
      <c r="I1894" s="5" t="s">
        <v>1938</v>
      </c>
    </row>
    <row r="1895" spans="1:9" s="4" customFormat="1" ht="38.1" customHeight="1" outlineLevel="1" x14ac:dyDescent="0.2">
      <c r="A1895" s="5" t="s">
        <v>340</v>
      </c>
      <c r="B1895" s="5" t="s">
        <v>134</v>
      </c>
      <c r="C1895" s="5" t="s">
        <v>1939</v>
      </c>
      <c r="D1895" s="5" t="s">
        <v>12</v>
      </c>
      <c r="E1895" s="5" t="s">
        <v>13</v>
      </c>
      <c r="F1895" s="5" t="s">
        <v>16</v>
      </c>
      <c r="G1895" s="6">
        <v>25200</v>
      </c>
      <c r="H1895" s="1888" t="str">
        <f>HYPERLINK("https://adv-map.ru/place/?LINK=fd3ae4c108bc2aa511841bd9354f5b43","Ссылка")</f>
        <v>Ссылка</v>
      </c>
      <c r="I1895" s="5" t="s">
        <v>1940</v>
      </c>
    </row>
    <row r="1896" spans="1:9" s="4" customFormat="1" ht="38.1" customHeight="1" outlineLevel="1" x14ac:dyDescent="0.2">
      <c r="A1896" s="5" t="s">
        <v>340</v>
      </c>
      <c r="B1896" s="5" t="s">
        <v>134</v>
      </c>
      <c r="C1896" s="5" t="s">
        <v>1941</v>
      </c>
      <c r="D1896" s="5" t="s">
        <v>12</v>
      </c>
      <c r="E1896" s="5" t="s">
        <v>13</v>
      </c>
      <c r="F1896" s="5" t="s">
        <v>14</v>
      </c>
      <c r="G1896" s="6">
        <v>31500</v>
      </c>
      <c r="H1896" s="1889" t="str">
        <f>HYPERLINK("https://adv-map.ru/place/?LINK=1369ec60f0ac7df5a97f01cd8bbc7c49","Ссылка")</f>
        <v>Ссылка</v>
      </c>
      <c r="I1896" s="5" t="s">
        <v>1942</v>
      </c>
    </row>
    <row r="1897" spans="1:9" s="4" customFormat="1" ht="38.1" customHeight="1" outlineLevel="1" x14ac:dyDescent="0.2">
      <c r="A1897" s="5" t="s">
        <v>340</v>
      </c>
      <c r="B1897" s="5" t="s">
        <v>134</v>
      </c>
      <c r="C1897" s="5" t="s">
        <v>1943</v>
      </c>
      <c r="D1897" s="5" t="s">
        <v>12</v>
      </c>
      <c r="E1897" s="5" t="s">
        <v>13</v>
      </c>
      <c r="F1897" s="5" t="s">
        <v>16</v>
      </c>
      <c r="G1897" s="6">
        <v>25200</v>
      </c>
      <c r="H1897" s="1890" t="str">
        <f>HYPERLINK("https://adv-map.ru/place/?LINK=e91b12893c52fe3ad0354e217b8a129d","Ссылка")</f>
        <v>Ссылка</v>
      </c>
      <c r="I1897" s="5" t="s">
        <v>1944</v>
      </c>
    </row>
    <row r="1898" spans="1:9" s="4" customFormat="1" ht="38.1" customHeight="1" outlineLevel="1" x14ac:dyDescent="0.2">
      <c r="A1898" s="5" t="s">
        <v>340</v>
      </c>
      <c r="B1898" s="5" t="s">
        <v>134</v>
      </c>
      <c r="C1898" s="5" t="s">
        <v>1945</v>
      </c>
      <c r="D1898" s="5" t="s">
        <v>12</v>
      </c>
      <c r="E1898" s="5" t="s">
        <v>13</v>
      </c>
      <c r="F1898" s="5" t="s">
        <v>14</v>
      </c>
      <c r="G1898" s="6">
        <v>31500</v>
      </c>
      <c r="H1898" s="1891" t="str">
        <f>HYPERLINK("https://adv-map.ru/place/?LINK=56078b88d7bb437a2e60992a8f831547","Ссылка")</f>
        <v>Ссылка</v>
      </c>
      <c r="I1898" s="5" t="s">
        <v>1946</v>
      </c>
    </row>
    <row r="1899" spans="1:9" s="4" customFormat="1" ht="51" customHeight="1" outlineLevel="1" x14ac:dyDescent="0.2">
      <c r="A1899" s="5" t="s">
        <v>340</v>
      </c>
      <c r="B1899" s="5" t="s">
        <v>341</v>
      </c>
      <c r="C1899" s="5" t="s">
        <v>1947</v>
      </c>
      <c r="D1899" s="5" t="s">
        <v>12</v>
      </c>
      <c r="E1899" s="5" t="s">
        <v>13</v>
      </c>
      <c r="F1899" s="5" t="s">
        <v>14</v>
      </c>
      <c r="G1899" s="6">
        <v>31500</v>
      </c>
      <c r="H1899" s="1892" t="str">
        <f>HYPERLINK("https://adv-map.ru/place/?LINK=a9ea74964a24919d7aee60aa39d954aa","Ссылка")</f>
        <v>Ссылка</v>
      </c>
      <c r="I1899" s="5" t="s">
        <v>1948</v>
      </c>
    </row>
    <row r="1900" spans="1:9" s="4" customFormat="1" ht="38.1" customHeight="1" outlineLevel="1" x14ac:dyDescent="0.2">
      <c r="A1900" s="5" t="s">
        <v>340</v>
      </c>
      <c r="B1900" s="5" t="s">
        <v>341</v>
      </c>
      <c r="C1900" s="5" t="s">
        <v>1947</v>
      </c>
      <c r="D1900" s="5" t="s">
        <v>12</v>
      </c>
      <c r="E1900" s="5" t="s">
        <v>13</v>
      </c>
      <c r="F1900" s="5" t="s">
        <v>16</v>
      </c>
      <c r="G1900" s="6">
        <v>25200</v>
      </c>
      <c r="H1900" s="1893" t="str">
        <f>HYPERLINK("https://adv-map.ru/place/?LINK=bf6a18250ab7caeeeca5de270d9e1500","Ссылка")</f>
        <v>Ссылка</v>
      </c>
      <c r="I1900" s="5" t="s">
        <v>1948</v>
      </c>
    </row>
    <row r="1901" spans="1:9" s="4" customFormat="1" ht="38.1" customHeight="1" outlineLevel="1" x14ac:dyDescent="0.2">
      <c r="A1901" s="5" t="s">
        <v>340</v>
      </c>
      <c r="B1901" s="5" t="s">
        <v>365</v>
      </c>
      <c r="C1901" s="5" t="s">
        <v>1949</v>
      </c>
      <c r="D1901" s="5" t="s">
        <v>347</v>
      </c>
      <c r="E1901" s="5" t="s">
        <v>348</v>
      </c>
      <c r="F1901" s="5" t="s">
        <v>14</v>
      </c>
      <c r="G1901" s="6">
        <v>22680</v>
      </c>
      <c r="H1901" s="1894" t="str">
        <f>HYPERLINK("https://adv-map.ru/place/?LINK=84738425fe5f90dafc53bad2e94f3d20","Ссылка")</f>
        <v>Ссылка</v>
      </c>
      <c r="I1901" s="5" t="s">
        <v>1950</v>
      </c>
    </row>
    <row r="1902" spans="1:9" s="4" customFormat="1" ht="38.1" customHeight="1" outlineLevel="1" x14ac:dyDescent="0.2">
      <c r="A1902" s="5" t="s">
        <v>340</v>
      </c>
      <c r="B1902" s="5" t="s">
        <v>365</v>
      </c>
      <c r="C1902" s="5" t="s">
        <v>1949</v>
      </c>
      <c r="D1902" s="5" t="s">
        <v>347</v>
      </c>
      <c r="E1902" s="5" t="s">
        <v>348</v>
      </c>
      <c r="F1902" s="5" t="s">
        <v>16</v>
      </c>
      <c r="G1902" s="6">
        <v>17640</v>
      </c>
      <c r="H1902" s="1895" t="str">
        <f>HYPERLINK("https://adv-map.ru/place/?LINK=b1fb179ba22ee36016757d7c0d4ab997","Ссылка")</f>
        <v>Ссылка</v>
      </c>
      <c r="I1902" s="5" t="s">
        <v>1950</v>
      </c>
    </row>
    <row r="1903" spans="1:9" s="4" customFormat="1" ht="38.1" customHeight="1" outlineLevel="1" x14ac:dyDescent="0.2">
      <c r="A1903" s="5" t="s">
        <v>340</v>
      </c>
      <c r="B1903" s="5" t="s">
        <v>365</v>
      </c>
      <c r="C1903" s="5" t="s">
        <v>1951</v>
      </c>
      <c r="D1903" s="5" t="s">
        <v>347</v>
      </c>
      <c r="E1903" s="5" t="s">
        <v>348</v>
      </c>
      <c r="F1903" s="5" t="s">
        <v>14</v>
      </c>
      <c r="G1903" s="6">
        <v>22680</v>
      </c>
      <c r="H1903" s="1896" t="str">
        <f>HYPERLINK("https://adv-map.ru/place/?LINK=b7a36264feead1fc1d3ed73029602175","Ссылка")</f>
        <v>Ссылка</v>
      </c>
      <c r="I1903" s="5" t="s">
        <v>1952</v>
      </c>
    </row>
    <row r="1904" spans="1:9" s="4" customFormat="1" ht="38.1" customHeight="1" outlineLevel="1" x14ac:dyDescent="0.2">
      <c r="A1904" s="5" t="s">
        <v>340</v>
      </c>
      <c r="B1904" s="5" t="s">
        <v>365</v>
      </c>
      <c r="C1904" s="5" t="s">
        <v>1951</v>
      </c>
      <c r="D1904" s="5" t="s">
        <v>347</v>
      </c>
      <c r="E1904" s="5" t="s">
        <v>348</v>
      </c>
      <c r="F1904" s="5" t="s">
        <v>16</v>
      </c>
      <c r="G1904" s="6">
        <v>17640</v>
      </c>
      <c r="H1904" s="1897" t="str">
        <f>HYPERLINK("https://adv-map.ru/place/?LINK=c6f7ac2788a0448576c481a88fcd168e","Ссылка")</f>
        <v>Ссылка</v>
      </c>
      <c r="I1904" s="5" t="s">
        <v>1952</v>
      </c>
    </row>
    <row r="1905" spans="1:9" s="4" customFormat="1" ht="38.1" customHeight="1" outlineLevel="1" x14ac:dyDescent="0.2">
      <c r="A1905" s="5" t="s">
        <v>340</v>
      </c>
      <c r="B1905" s="5" t="s">
        <v>365</v>
      </c>
      <c r="C1905" s="5" t="s">
        <v>1953</v>
      </c>
      <c r="D1905" s="5" t="s">
        <v>347</v>
      </c>
      <c r="E1905" s="5" t="s">
        <v>348</v>
      </c>
      <c r="F1905" s="5" t="s">
        <v>14</v>
      </c>
      <c r="G1905" s="6">
        <v>22680</v>
      </c>
      <c r="H1905" s="1898" t="str">
        <f>HYPERLINK("https://adv-map.ru/place/?LINK=d3c01d6e58706b4f26303da7158a82ca","Ссылка")</f>
        <v>Ссылка</v>
      </c>
      <c r="I1905" s="5" t="s">
        <v>1954</v>
      </c>
    </row>
    <row r="1906" spans="1:9" s="4" customFormat="1" ht="38.1" customHeight="1" outlineLevel="1" x14ac:dyDescent="0.2">
      <c r="A1906" s="5" t="s">
        <v>340</v>
      </c>
      <c r="B1906" s="5" t="s">
        <v>365</v>
      </c>
      <c r="C1906" s="5" t="s">
        <v>1953</v>
      </c>
      <c r="D1906" s="5" t="s">
        <v>347</v>
      </c>
      <c r="E1906" s="5" t="s">
        <v>348</v>
      </c>
      <c r="F1906" s="5" t="s">
        <v>16</v>
      </c>
      <c r="G1906" s="6">
        <v>17640</v>
      </c>
      <c r="H1906" s="1899" t="str">
        <f>HYPERLINK("https://adv-map.ru/place/?LINK=260a8d652fe40df711101622b0118985","Ссылка")</f>
        <v>Ссылка</v>
      </c>
      <c r="I1906" s="5" t="s">
        <v>1955</v>
      </c>
    </row>
    <row r="1907" spans="1:9" s="4" customFormat="1" ht="38.1" customHeight="1" outlineLevel="1" x14ac:dyDescent="0.2">
      <c r="A1907" s="5" t="s">
        <v>340</v>
      </c>
      <c r="B1907" s="5" t="s">
        <v>365</v>
      </c>
      <c r="C1907" s="5" t="s">
        <v>1956</v>
      </c>
      <c r="D1907" s="5" t="s">
        <v>347</v>
      </c>
      <c r="E1907" s="5" t="s">
        <v>348</v>
      </c>
      <c r="F1907" s="5" t="s">
        <v>14</v>
      </c>
      <c r="G1907" s="6">
        <v>22680</v>
      </c>
      <c r="H1907" s="1900" t="str">
        <f>HYPERLINK("https://adv-map.ru/place/?LINK=ff6dbf282eaba94eb987ba8136c6ade1","Ссылка")</f>
        <v>Ссылка</v>
      </c>
      <c r="I1907" s="5" t="s">
        <v>1957</v>
      </c>
    </row>
    <row r="1908" spans="1:9" s="4" customFormat="1" ht="38.1" customHeight="1" outlineLevel="1" x14ac:dyDescent="0.2">
      <c r="A1908" s="5" t="s">
        <v>340</v>
      </c>
      <c r="B1908" s="5" t="s">
        <v>365</v>
      </c>
      <c r="C1908" s="5" t="s">
        <v>1956</v>
      </c>
      <c r="D1908" s="5" t="s">
        <v>347</v>
      </c>
      <c r="E1908" s="5" t="s">
        <v>348</v>
      </c>
      <c r="F1908" s="5" t="s">
        <v>16</v>
      </c>
      <c r="G1908" s="6">
        <v>17640</v>
      </c>
      <c r="H1908" s="1901" t="str">
        <f>HYPERLINK("https://adv-map.ru/place/?LINK=8e1cdf3b85894dd771fd482e2266f569","Ссылка")</f>
        <v>Ссылка</v>
      </c>
      <c r="I1908" s="5" t="s">
        <v>1958</v>
      </c>
    </row>
    <row r="1909" spans="1:9" s="4" customFormat="1" ht="38.1" customHeight="1" outlineLevel="1" x14ac:dyDescent="0.2">
      <c r="A1909" s="5" t="s">
        <v>340</v>
      </c>
      <c r="B1909" s="5" t="s">
        <v>365</v>
      </c>
      <c r="C1909" s="5" t="s">
        <v>1959</v>
      </c>
      <c r="D1909" s="5" t="s">
        <v>347</v>
      </c>
      <c r="E1909" s="5" t="s">
        <v>348</v>
      </c>
      <c r="F1909" s="5" t="s">
        <v>14</v>
      </c>
      <c r="G1909" s="6">
        <v>22680</v>
      </c>
      <c r="H1909" s="1902" t="str">
        <f>HYPERLINK("https://adv-map.ru/place/?LINK=f9b8bf1fd72f55dae7ca7cc03e25d804","Ссылка")</f>
        <v>Ссылка</v>
      </c>
      <c r="I1909" s="5" t="s">
        <v>1960</v>
      </c>
    </row>
    <row r="1910" spans="1:9" s="4" customFormat="1" ht="38.1" customHeight="1" outlineLevel="1" x14ac:dyDescent="0.2">
      <c r="A1910" s="5" t="s">
        <v>340</v>
      </c>
      <c r="B1910" s="5" t="s">
        <v>365</v>
      </c>
      <c r="C1910" s="5" t="s">
        <v>1959</v>
      </c>
      <c r="D1910" s="5" t="s">
        <v>347</v>
      </c>
      <c r="E1910" s="5" t="s">
        <v>348</v>
      </c>
      <c r="F1910" s="5" t="s">
        <v>16</v>
      </c>
      <c r="G1910" s="6">
        <v>17640</v>
      </c>
      <c r="H1910" s="1903" t="str">
        <f>HYPERLINK("https://adv-map.ru/place/?LINK=858de0133b776d0dd639f70bee123b1d","Ссылка")</f>
        <v>Ссылка</v>
      </c>
      <c r="I1910" s="5" t="s">
        <v>1961</v>
      </c>
    </row>
    <row r="1911" spans="1:9" s="4" customFormat="1" ht="38.1" customHeight="1" outlineLevel="1" x14ac:dyDescent="0.2">
      <c r="A1911" s="5" t="s">
        <v>340</v>
      </c>
      <c r="B1911" s="5" t="s">
        <v>365</v>
      </c>
      <c r="C1911" s="5" t="s">
        <v>1962</v>
      </c>
      <c r="D1911" s="5" t="s">
        <v>347</v>
      </c>
      <c r="E1911" s="5" t="s">
        <v>348</v>
      </c>
      <c r="F1911" s="5" t="s">
        <v>14</v>
      </c>
      <c r="G1911" s="6">
        <v>22680</v>
      </c>
      <c r="H1911" s="1904" t="str">
        <f>HYPERLINK("https://adv-map.ru/place/?LINK=2c477394c8e586bd919f4f3603005ea5","Ссылка")</f>
        <v>Ссылка</v>
      </c>
      <c r="I1911" s="5" t="s">
        <v>1963</v>
      </c>
    </row>
    <row r="1912" spans="1:9" s="4" customFormat="1" ht="38.1" customHeight="1" outlineLevel="1" x14ac:dyDescent="0.2">
      <c r="A1912" s="5" t="s">
        <v>340</v>
      </c>
      <c r="B1912" s="5" t="s">
        <v>365</v>
      </c>
      <c r="C1912" s="5" t="s">
        <v>1962</v>
      </c>
      <c r="D1912" s="5" t="s">
        <v>347</v>
      </c>
      <c r="E1912" s="5" t="s">
        <v>348</v>
      </c>
      <c r="F1912" s="5" t="s">
        <v>16</v>
      </c>
      <c r="G1912" s="6">
        <v>17640</v>
      </c>
      <c r="H1912" s="1905" t="str">
        <f>HYPERLINK("https://adv-map.ru/place/?LINK=5edeaeb786c7bcf0199df8c73bcd7e94","Ссылка")</f>
        <v>Ссылка</v>
      </c>
      <c r="I1912" s="5" t="s">
        <v>1964</v>
      </c>
    </row>
    <row r="1913" spans="1:9" s="4" customFormat="1" ht="38.1" customHeight="1" outlineLevel="1" x14ac:dyDescent="0.2">
      <c r="A1913" s="5" t="s">
        <v>340</v>
      </c>
      <c r="B1913" s="5" t="s">
        <v>365</v>
      </c>
      <c r="C1913" s="5" t="s">
        <v>1965</v>
      </c>
      <c r="D1913" s="5" t="s">
        <v>12</v>
      </c>
      <c r="E1913" s="5" t="s">
        <v>13</v>
      </c>
      <c r="F1913" s="5" t="s">
        <v>14</v>
      </c>
      <c r="G1913" s="6">
        <v>44100</v>
      </c>
      <c r="H1913" s="1906" t="str">
        <f>HYPERLINK("https://adv-map.ru/place/?LINK=72e1d3705e9511dea7f112d281d05ba8","Ссылка")</f>
        <v>Ссылка</v>
      </c>
      <c r="I1913" s="5" t="s">
        <v>1966</v>
      </c>
    </row>
    <row r="1914" spans="1:9" s="4" customFormat="1" ht="38.1" customHeight="1" outlineLevel="1" x14ac:dyDescent="0.2">
      <c r="A1914" s="5" t="s">
        <v>340</v>
      </c>
      <c r="B1914" s="5" t="s">
        <v>365</v>
      </c>
      <c r="C1914" s="5" t="s">
        <v>1965</v>
      </c>
      <c r="D1914" s="5" t="s">
        <v>12</v>
      </c>
      <c r="E1914" s="5" t="s">
        <v>13</v>
      </c>
      <c r="F1914" s="5" t="s">
        <v>16</v>
      </c>
      <c r="G1914" s="6">
        <v>37800</v>
      </c>
      <c r="H1914" s="1907" t="str">
        <f>HYPERLINK("https://adv-map.ru/place/?LINK=3d09d2cff846dbde62a1d3096be5a1f9","Ссылка")</f>
        <v>Ссылка</v>
      </c>
      <c r="I1914" s="5" t="s">
        <v>1966</v>
      </c>
    </row>
    <row r="1915" spans="1:9" s="4" customFormat="1" ht="38.1" customHeight="1" outlineLevel="1" x14ac:dyDescent="0.2">
      <c r="A1915" s="5" t="s">
        <v>340</v>
      </c>
      <c r="B1915" s="5" t="s">
        <v>365</v>
      </c>
      <c r="C1915" s="5" t="s">
        <v>1967</v>
      </c>
      <c r="D1915" s="5" t="s">
        <v>49</v>
      </c>
      <c r="E1915" s="5" t="s">
        <v>13</v>
      </c>
      <c r="F1915" s="5" t="s">
        <v>28</v>
      </c>
      <c r="G1915" s="6">
        <v>42000</v>
      </c>
      <c r="H1915" s="1908" t="str">
        <f>HYPERLINK("https://adv-map.ru/place/?LINK=f3eaf1b5e30215498152627441d06d5c","Ссылка")</f>
        <v>Ссылка</v>
      </c>
      <c r="I1915" s="5" t="s">
        <v>1968</v>
      </c>
    </row>
    <row r="1916" spans="1:9" s="4" customFormat="1" ht="38.1" customHeight="1" outlineLevel="1" x14ac:dyDescent="0.2">
      <c r="A1916" s="5" t="s">
        <v>340</v>
      </c>
      <c r="B1916" s="5" t="s">
        <v>365</v>
      </c>
      <c r="C1916" s="5" t="s">
        <v>1967</v>
      </c>
      <c r="D1916" s="5" t="s">
        <v>49</v>
      </c>
      <c r="E1916" s="5" t="s">
        <v>13</v>
      </c>
      <c r="F1916" s="5" t="s">
        <v>30</v>
      </c>
      <c r="G1916" s="6">
        <v>42000</v>
      </c>
      <c r="H1916" s="1909" t="str">
        <f>HYPERLINK("https://adv-map.ru/place/?LINK=4aff2cc599c30cb7fe1dd8fdb206df93","Ссылка")</f>
        <v>Ссылка</v>
      </c>
      <c r="I1916" s="5" t="s">
        <v>1968</v>
      </c>
    </row>
    <row r="1917" spans="1:9" s="4" customFormat="1" ht="38.1" customHeight="1" outlineLevel="1" x14ac:dyDescent="0.2">
      <c r="A1917" s="5" t="s">
        <v>340</v>
      </c>
      <c r="B1917" s="5" t="s">
        <v>365</v>
      </c>
      <c r="C1917" s="5" t="s">
        <v>1967</v>
      </c>
      <c r="D1917" s="5" t="s">
        <v>49</v>
      </c>
      <c r="E1917" s="5" t="s">
        <v>13</v>
      </c>
      <c r="F1917" s="5" t="s">
        <v>31</v>
      </c>
      <c r="G1917" s="6">
        <v>42000</v>
      </c>
      <c r="H1917" s="1910" t="str">
        <f>HYPERLINK("https://adv-map.ru/place/?LINK=0ee33048b43057ecc3e3212844214f7a","Ссылка")</f>
        <v>Ссылка</v>
      </c>
      <c r="I1917" s="5" t="s">
        <v>1968</v>
      </c>
    </row>
    <row r="1918" spans="1:9" s="4" customFormat="1" ht="38.1" customHeight="1" outlineLevel="1" x14ac:dyDescent="0.2">
      <c r="A1918" s="5" t="s">
        <v>340</v>
      </c>
      <c r="B1918" s="5" t="s">
        <v>365</v>
      </c>
      <c r="C1918" s="5" t="s">
        <v>1967</v>
      </c>
      <c r="D1918" s="5" t="s">
        <v>12</v>
      </c>
      <c r="E1918" s="5" t="s">
        <v>13</v>
      </c>
      <c r="F1918" s="5" t="s">
        <v>16</v>
      </c>
      <c r="G1918" s="6">
        <v>31500</v>
      </c>
      <c r="H1918" s="1911" t="str">
        <f>HYPERLINK("https://adv-map.ru/place/?LINK=26ba88ef00e26834179136a99bce5454","Ссылка")</f>
        <v>Ссылка</v>
      </c>
      <c r="I1918" s="5" t="s">
        <v>1968</v>
      </c>
    </row>
    <row r="1919" spans="1:9" s="4" customFormat="1" ht="38.1" customHeight="1" outlineLevel="1" x14ac:dyDescent="0.2">
      <c r="A1919" s="5" t="s">
        <v>340</v>
      </c>
      <c r="B1919" s="5" t="s">
        <v>365</v>
      </c>
      <c r="C1919" s="5" t="s">
        <v>1969</v>
      </c>
      <c r="D1919" s="5" t="s">
        <v>12</v>
      </c>
      <c r="E1919" s="5" t="s">
        <v>13</v>
      </c>
      <c r="F1919" s="5" t="s">
        <v>14</v>
      </c>
      <c r="G1919" s="6">
        <v>42000</v>
      </c>
      <c r="H1919" s="1912" t="str">
        <f>HYPERLINK("https://adv-map.ru/place/?LINK=15ddaf995792353877fcf00091dba446","Ссылка")</f>
        <v>Ссылка</v>
      </c>
      <c r="I1919" s="5" t="s">
        <v>1970</v>
      </c>
    </row>
    <row r="1920" spans="1:9" s="4" customFormat="1" ht="51" customHeight="1" outlineLevel="1" x14ac:dyDescent="0.2">
      <c r="A1920" s="5" t="s">
        <v>340</v>
      </c>
      <c r="B1920" s="5" t="s">
        <v>365</v>
      </c>
      <c r="C1920" s="5" t="s">
        <v>1969</v>
      </c>
      <c r="D1920" s="5" t="s">
        <v>12</v>
      </c>
      <c r="E1920" s="5" t="s">
        <v>13</v>
      </c>
      <c r="F1920" s="5" t="s">
        <v>16</v>
      </c>
      <c r="G1920" s="6">
        <v>36750</v>
      </c>
      <c r="H1920" s="1913" t="str">
        <f>HYPERLINK("https://adv-map.ru/place/?LINK=301625379521a419934151e0d0a78263","Ссылка")</f>
        <v>Ссылка</v>
      </c>
      <c r="I1920" s="5" t="s">
        <v>1970</v>
      </c>
    </row>
    <row r="1921" spans="1:9" s="4" customFormat="1" ht="38.1" customHeight="1" outlineLevel="1" x14ac:dyDescent="0.2">
      <c r="A1921" s="5" t="s">
        <v>340</v>
      </c>
      <c r="B1921" s="5" t="s">
        <v>365</v>
      </c>
      <c r="C1921" s="5" t="s">
        <v>1971</v>
      </c>
      <c r="D1921" s="5" t="s">
        <v>49</v>
      </c>
      <c r="E1921" s="5" t="s">
        <v>13</v>
      </c>
      <c r="F1921" s="5" t="s">
        <v>28</v>
      </c>
      <c r="G1921" s="6">
        <v>35280</v>
      </c>
      <c r="H1921" s="1914" t="str">
        <f>HYPERLINK("https://adv-map.ru/place/?LINK=bf96c1a7fac892e3d9d7a0a46b064bae","Ссылка")</f>
        <v>Ссылка</v>
      </c>
      <c r="I1921" s="5" t="s">
        <v>1972</v>
      </c>
    </row>
    <row r="1922" spans="1:9" s="4" customFormat="1" ht="38.1" customHeight="1" outlineLevel="1" x14ac:dyDescent="0.2">
      <c r="A1922" s="5" t="s">
        <v>340</v>
      </c>
      <c r="B1922" s="5" t="s">
        <v>365</v>
      </c>
      <c r="C1922" s="5" t="s">
        <v>1971</v>
      </c>
      <c r="D1922" s="5" t="s">
        <v>49</v>
      </c>
      <c r="E1922" s="5" t="s">
        <v>13</v>
      </c>
      <c r="F1922" s="5" t="s">
        <v>30</v>
      </c>
      <c r="G1922" s="6">
        <v>35280</v>
      </c>
      <c r="H1922" s="1915" t="str">
        <f>HYPERLINK("https://adv-map.ru/place/?LINK=a739deaffb6166f7dea105758f08dda2","Ссылка")</f>
        <v>Ссылка</v>
      </c>
      <c r="I1922" s="5" t="s">
        <v>1972</v>
      </c>
    </row>
    <row r="1923" spans="1:9" s="4" customFormat="1" ht="51" customHeight="1" outlineLevel="1" x14ac:dyDescent="0.2">
      <c r="A1923" s="5" t="s">
        <v>340</v>
      </c>
      <c r="B1923" s="5" t="s">
        <v>365</v>
      </c>
      <c r="C1923" s="5" t="s">
        <v>1971</v>
      </c>
      <c r="D1923" s="5" t="s">
        <v>49</v>
      </c>
      <c r="E1923" s="5" t="s">
        <v>13</v>
      </c>
      <c r="F1923" s="5" t="s">
        <v>31</v>
      </c>
      <c r="G1923" s="6">
        <v>35280</v>
      </c>
      <c r="H1923" s="1916" t="str">
        <f>HYPERLINK("https://adv-map.ru/place/?LINK=4e912aabe9d28b6930887ee6037e9b67","Ссылка")</f>
        <v>Ссылка</v>
      </c>
      <c r="I1923" s="5" t="s">
        <v>1972</v>
      </c>
    </row>
    <row r="1924" spans="1:9" s="4" customFormat="1" ht="38.1" customHeight="1" outlineLevel="1" x14ac:dyDescent="0.2">
      <c r="A1924" s="5" t="s">
        <v>340</v>
      </c>
      <c r="B1924" s="5" t="s">
        <v>365</v>
      </c>
      <c r="C1924" s="5" t="s">
        <v>1971</v>
      </c>
      <c r="D1924" s="5" t="s">
        <v>49</v>
      </c>
      <c r="E1924" s="5" t="s">
        <v>13</v>
      </c>
      <c r="F1924" s="5" t="s">
        <v>16</v>
      </c>
      <c r="G1924" s="6">
        <v>30240</v>
      </c>
      <c r="H1924" s="1917" t="str">
        <f>HYPERLINK("https://adv-map.ru/place/?LINK=6b0366d14f33dfd05d35c2998b09090f","Ссылка")</f>
        <v>Ссылка</v>
      </c>
      <c r="I1924" s="5" t="s">
        <v>1972</v>
      </c>
    </row>
    <row r="1925" spans="1:9" s="4" customFormat="1" ht="38.1" customHeight="1" outlineLevel="1" x14ac:dyDescent="0.2">
      <c r="A1925" s="5" t="s">
        <v>340</v>
      </c>
      <c r="B1925" s="5" t="s">
        <v>546</v>
      </c>
      <c r="C1925" s="5" t="s">
        <v>1973</v>
      </c>
      <c r="D1925" s="5" t="s">
        <v>12</v>
      </c>
      <c r="E1925" s="5" t="s">
        <v>13</v>
      </c>
      <c r="F1925" s="5" t="s">
        <v>14</v>
      </c>
      <c r="G1925" s="6">
        <v>37800</v>
      </c>
      <c r="H1925" s="1918" t="str">
        <f>HYPERLINK("https://adv-map.ru/place/?LINK=82972e253c87c61d67cd7cb3df65a7c3","Ссылка")</f>
        <v>Ссылка</v>
      </c>
      <c r="I1925" s="5" t="s">
        <v>1974</v>
      </c>
    </row>
    <row r="1926" spans="1:9" s="4" customFormat="1" ht="38.1" customHeight="1" outlineLevel="1" x14ac:dyDescent="0.2">
      <c r="A1926" s="5" t="s">
        <v>340</v>
      </c>
      <c r="B1926" s="5" t="s">
        <v>546</v>
      </c>
      <c r="C1926" s="5" t="s">
        <v>1975</v>
      </c>
      <c r="D1926" s="5" t="s">
        <v>12</v>
      </c>
      <c r="E1926" s="5" t="s">
        <v>13</v>
      </c>
      <c r="F1926" s="5" t="s">
        <v>16</v>
      </c>
      <c r="G1926" s="6">
        <v>30240</v>
      </c>
      <c r="H1926" s="1919" t="str">
        <f>HYPERLINK("https://adv-map.ru/place/?LINK=512e9be8362b36e28c35be9ac1c2b1de","Ссылка")</f>
        <v>Ссылка</v>
      </c>
      <c r="I1926" s="5" t="s">
        <v>1974</v>
      </c>
    </row>
    <row r="1927" spans="1:9" s="4" customFormat="1" ht="38.1" customHeight="1" outlineLevel="1" x14ac:dyDescent="0.2">
      <c r="A1927" s="5" t="s">
        <v>340</v>
      </c>
      <c r="B1927" s="5" t="s">
        <v>546</v>
      </c>
      <c r="C1927" s="5" t="s">
        <v>1976</v>
      </c>
      <c r="D1927" s="5" t="s">
        <v>12</v>
      </c>
      <c r="E1927" s="5" t="s">
        <v>13</v>
      </c>
      <c r="F1927" s="5" t="s">
        <v>14</v>
      </c>
      <c r="G1927" s="6">
        <v>37800</v>
      </c>
      <c r="H1927" s="1920" t="str">
        <f>HYPERLINK("https://adv-map.ru/place/?LINK=75b318c66ba36492cd04038ac04200a1","Ссылка")</f>
        <v>Ссылка</v>
      </c>
      <c r="I1927" s="5" t="s">
        <v>1977</v>
      </c>
    </row>
    <row r="1928" spans="1:9" s="4" customFormat="1" ht="38.1" customHeight="1" outlineLevel="1" x14ac:dyDescent="0.2">
      <c r="A1928" s="5" t="s">
        <v>340</v>
      </c>
      <c r="B1928" s="5" t="s">
        <v>546</v>
      </c>
      <c r="C1928" s="5" t="s">
        <v>1976</v>
      </c>
      <c r="D1928" s="5" t="s">
        <v>12</v>
      </c>
      <c r="E1928" s="5" t="s">
        <v>13</v>
      </c>
      <c r="F1928" s="5" t="s">
        <v>16</v>
      </c>
      <c r="G1928" s="6">
        <v>30240</v>
      </c>
      <c r="H1928" s="1921" t="str">
        <f>HYPERLINK("https://adv-map.ru/place/?LINK=b11bdf8d20d6f77b2e1f1d73cb28c83d","Ссылка")</f>
        <v>Ссылка</v>
      </c>
      <c r="I1928" s="5" t="s">
        <v>1977</v>
      </c>
    </row>
    <row r="1929" spans="1:9" s="4" customFormat="1" ht="38.1" customHeight="1" outlineLevel="1" x14ac:dyDescent="0.2">
      <c r="A1929" s="5" t="s">
        <v>340</v>
      </c>
      <c r="B1929" s="5" t="s">
        <v>365</v>
      </c>
      <c r="C1929" s="5" t="s">
        <v>1978</v>
      </c>
      <c r="D1929" s="5" t="s">
        <v>347</v>
      </c>
      <c r="E1929" s="5" t="s">
        <v>348</v>
      </c>
      <c r="F1929" s="5" t="s">
        <v>14</v>
      </c>
      <c r="G1929" s="6">
        <v>22680</v>
      </c>
      <c r="H1929" s="1922" t="str">
        <f>HYPERLINK("https://adv-map.ru/place/?LINK=227ccd4e715d76644524fd8257c356eb","Ссылка")</f>
        <v>Ссылка</v>
      </c>
      <c r="I1929" s="5" t="s">
        <v>1979</v>
      </c>
    </row>
    <row r="1930" spans="1:9" s="4" customFormat="1" ht="38.1" customHeight="1" outlineLevel="1" x14ac:dyDescent="0.2">
      <c r="A1930" s="5" t="s">
        <v>340</v>
      </c>
      <c r="B1930" s="5" t="s">
        <v>365</v>
      </c>
      <c r="C1930" s="5" t="s">
        <v>1978</v>
      </c>
      <c r="D1930" s="5" t="s">
        <v>347</v>
      </c>
      <c r="E1930" s="5" t="s">
        <v>348</v>
      </c>
      <c r="F1930" s="5" t="s">
        <v>16</v>
      </c>
      <c r="G1930" s="6">
        <v>17640</v>
      </c>
      <c r="H1930" s="1923" t="str">
        <f>HYPERLINK("https://adv-map.ru/place/?LINK=a0d1905196b3b03421b28e8ad160cab2","Ссылка")</f>
        <v>Ссылка</v>
      </c>
      <c r="I1930" s="5" t="s">
        <v>1980</v>
      </c>
    </row>
    <row r="1931" spans="1:9" s="4" customFormat="1" ht="38.1" customHeight="1" outlineLevel="1" x14ac:dyDescent="0.2">
      <c r="A1931" s="5" t="s">
        <v>340</v>
      </c>
      <c r="B1931" s="5" t="s">
        <v>546</v>
      </c>
      <c r="C1931" s="5" t="s">
        <v>1981</v>
      </c>
      <c r="D1931" s="5" t="s">
        <v>12</v>
      </c>
      <c r="E1931" s="5" t="s">
        <v>13</v>
      </c>
      <c r="F1931" s="5" t="s">
        <v>16</v>
      </c>
      <c r="G1931" s="6">
        <v>31500</v>
      </c>
      <c r="H1931" s="1924" t="str">
        <f>HYPERLINK("https://adv-map.ru/place/?LINK=8f5364e83cc8cb90df2a18bdd3315443","Ссылка")</f>
        <v>Ссылка</v>
      </c>
      <c r="I1931" s="5" t="s">
        <v>1982</v>
      </c>
    </row>
    <row r="1932" spans="1:9" s="4" customFormat="1" ht="38.1" customHeight="1" outlineLevel="1" x14ac:dyDescent="0.2">
      <c r="A1932" s="5" t="s">
        <v>340</v>
      </c>
      <c r="B1932" s="5" t="s">
        <v>546</v>
      </c>
      <c r="C1932" s="5" t="s">
        <v>1983</v>
      </c>
      <c r="D1932" s="5" t="s">
        <v>12</v>
      </c>
      <c r="E1932" s="5" t="s">
        <v>13</v>
      </c>
      <c r="F1932" s="5" t="s">
        <v>14</v>
      </c>
      <c r="G1932" s="6">
        <v>37800</v>
      </c>
      <c r="H1932" s="1925" t="str">
        <f>HYPERLINK("https://adv-map.ru/place/?LINK=80617cf943a52ef0f1c71f867cc014d0","Ссылка")</f>
        <v>Ссылка</v>
      </c>
      <c r="I1932" s="5" t="s">
        <v>1982</v>
      </c>
    </row>
    <row r="1933" spans="1:9" s="4" customFormat="1" ht="38.1" customHeight="1" outlineLevel="1" x14ac:dyDescent="0.2">
      <c r="A1933" s="5" t="s">
        <v>340</v>
      </c>
      <c r="B1933" s="5" t="s">
        <v>341</v>
      </c>
      <c r="C1933" s="5" t="s">
        <v>1984</v>
      </c>
      <c r="D1933" s="5" t="s">
        <v>12</v>
      </c>
      <c r="E1933" s="5" t="s">
        <v>13</v>
      </c>
      <c r="F1933" s="5" t="s">
        <v>14</v>
      </c>
      <c r="G1933" s="6">
        <v>42000</v>
      </c>
      <c r="H1933" s="1926" t="str">
        <f>HYPERLINK("https://adv-map.ru/place/?LINK=18fcd4bf33734a265c0085d719cb6a1f","Ссылка")</f>
        <v>Ссылка</v>
      </c>
      <c r="I1933" s="5" t="s">
        <v>1985</v>
      </c>
    </row>
    <row r="1934" spans="1:9" s="4" customFormat="1" ht="38.1" customHeight="1" outlineLevel="1" x14ac:dyDescent="0.2">
      <c r="A1934" s="5" t="s">
        <v>340</v>
      </c>
      <c r="B1934" s="5" t="s">
        <v>341</v>
      </c>
      <c r="C1934" s="5" t="s">
        <v>1984</v>
      </c>
      <c r="D1934" s="5" t="s">
        <v>12</v>
      </c>
      <c r="E1934" s="5" t="s">
        <v>13</v>
      </c>
      <c r="F1934" s="5" t="s">
        <v>16</v>
      </c>
      <c r="G1934" s="6">
        <v>35700</v>
      </c>
      <c r="H1934" s="1927" t="str">
        <f>HYPERLINK("https://adv-map.ru/place/?LINK=4b3e36f81d96d91124a31046a13968cc","Ссылка")</f>
        <v>Ссылка</v>
      </c>
      <c r="I1934" s="5" t="s">
        <v>1985</v>
      </c>
    </row>
    <row r="1935" spans="1:9" s="4" customFormat="1" ht="38.1" customHeight="1" outlineLevel="1" x14ac:dyDescent="0.2">
      <c r="A1935" s="5" t="s">
        <v>340</v>
      </c>
      <c r="B1935" s="5" t="s">
        <v>341</v>
      </c>
      <c r="C1935" s="5" t="s">
        <v>1986</v>
      </c>
      <c r="D1935" s="5" t="s">
        <v>347</v>
      </c>
      <c r="E1935" s="5" t="s">
        <v>348</v>
      </c>
      <c r="F1935" s="5" t="s">
        <v>14</v>
      </c>
      <c r="G1935" s="6">
        <v>22680</v>
      </c>
      <c r="H1935" s="1928" t="str">
        <f>HYPERLINK("https://adv-map.ru/place/?LINK=c39e455c59dc87716558404fd82beeca","Ссылка")</f>
        <v>Ссылка</v>
      </c>
      <c r="I1935" s="5" t="s">
        <v>1987</v>
      </c>
    </row>
    <row r="1936" spans="1:9" s="4" customFormat="1" ht="38.1" customHeight="1" outlineLevel="1" x14ac:dyDescent="0.2">
      <c r="A1936" s="5" t="s">
        <v>340</v>
      </c>
      <c r="B1936" s="5" t="s">
        <v>341</v>
      </c>
      <c r="C1936" s="5" t="s">
        <v>1986</v>
      </c>
      <c r="D1936" s="5" t="s">
        <v>347</v>
      </c>
      <c r="E1936" s="5" t="s">
        <v>348</v>
      </c>
      <c r="F1936" s="5" t="s">
        <v>16</v>
      </c>
      <c r="G1936" s="6">
        <v>17640</v>
      </c>
      <c r="H1936" s="1929" t="str">
        <f>HYPERLINK("https://adv-map.ru/place/?LINK=e6fa693ddc919e3ed33ad83fc9a9d8dd","Ссылка")</f>
        <v>Ссылка</v>
      </c>
      <c r="I1936" s="5" t="s">
        <v>1988</v>
      </c>
    </row>
    <row r="1937" spans="1:9" s="4" customFormat="1" ht="38.1" customHeight="1" outlineLevel="1" x14ac:dyDescent="0.2">
      <c r="A1937" s="5" t="s">
        <v>340</v>
      </c>
      <c r="B1937" s="5" t="s">
        <v>354</v>
      </c>
      <c r="C1937" s="5" t="s">
        <v>1989</v>
      </c>
      <c r="D1937" s="5" t="s">
        <v>12</v>
      </c>
      <c r="E1937" s="5" t="s">
        <v>13</v>
      </c>
      <c r="F1937" s="5" t="s">
        <v>14</v>
      </c>
      <c r="G1937" s="6">
        <v>30240</v>
      </c>
      <c r="H1937" s="1930" t="str">
        <f>HYPERLINK("https://adv-map.ru/place/?LINK=50858672a9d0bd818fca4ad7772a4051","Ссылка")</f>
        <v>Ссылка</v>
      </c>
      <c r="I1937" s="5" t="s">
        <v>1990</v>
      </c>
    </row>
    <row r="1938" spans="1:9" s="4" customFormat="1" ht="38.1" customHeight="1" outlineLevel="1" x14ac:dyDescent="0.2">
      <c r="A1938" s="5" t="s">
        <v>340</v>
      </c>
      <c r="B1938" s="5" t="s">
        <v>354</v>
      </c>
      <c r="C1938" s="5" t="s">
        <v>1991</v>
      </c>
      <c r="D1938" s="5" t="s">
        <v>12</v>
      </c>
      <c r="E1938" s="5" t="s">
        <v>13</v>
      </c>
      <c r="F1938" s="5" t="s">
        <v>16</v>
      </c>
      <c r="G1938" s="6">
        <v>25200</v>
      </c>
      <c r="H1938" s="1931" t="str">
        <f>HYPERLINK("https://adv-map.ru/place/?LINK=c10efd4fc1e181069984f985537ddbda","Ссылка")</f>
        <v>Ссылка</v>
      </c>
      <c r="I1938" s="5" t="s">
        <v>1990</v>
      </c>
    </row>
    <row r="1939" spans="1:9" s="4" customFormat="1" ht="38.1" customHeight="1" outlineLevel="1" x14ac:dyDescent="0.2">
      <c r="A1939" s="5" t="s">
        <v>340</v>
      </c>
      <c r="B1939" s="5" t="s">
        <v>354</v>
      </c>
      <c r="C1939" s="5" t="s">
        <v>1992</v>
      </c>
      <c r="D1939" s="5" t="s">
        <v>12</v>
      </c>
      <c r="E1939" s="5" t="s">
        <v>13</v>
      </c>
      <c r="F1939" s="5" t="s">
        <v>14</v>
      </c>
      <c r="G1939" s="6">
        <v>30240</v>
      </c>
      <c r="H1939" s="1932" t="str">
        <f>HYPERLINK("https://adv-map.ru/place/?LINK=351586b4d3b7775e0fc8ff79d7a2443c","Ссылка")</f>
        <v>Ссылка</v>
      </c>
      <c r="I1939" s="5" t="s">
        <v>1993</v>
      </c>
    </row>
    <row r="1940" spans="1:9" s="4" customFormat="1" ht="38.1" customHeight="1" outlineLevel="1" x14ac:dyDescent="0.2">
      <c r="A1940" s="5" t="s">
        <v>340</v>
      </c>
      <c r="B1940" s="5" t="s">
        <v>354</v>
      </c>
      <c r="C1940" s="5" t="s">
        <v>1992</v>
      </c>
      <c r="D1940" s="5" t="s">
        <v>12</v>
      </c>
      <c r="E1940" s="5" t="s">
        <v>13</v>
      </c>
      <c r="F1940" s="5" t="s">
        <v>16</v>
      </c>
      <c r="G1940" s="6">
        <v>27720</v>
      </c>
      <c r="H1940" s="1933" t="str">
        <f>HYPERLINK("https://adv-map.ru/place/?LINK=38b8eec4225d9f827df074af714c73f0","Ссылка")</f>
        <v>Ссылка</v>
      </c>
      <c r="I1940" s="5" t="s">
        <v>1993</v>
      </c>
    </row>
    <row r="1941" spans="1:9" s="4" customFormat="1" ht="38.1" customHeight="1" outlineLevel="1" x14ac:dyDescent="0.2">
      <c r="A1941" s="5" t="s">
        <v>340</v>
      </c>
      <c r="B1941" s="5" t="s">
        <v>354</v>
      </c>
      <c r="C1941" s="5" t="s">
        <v>1994</v>
      </c>
      <c r="D1941" s="5" t="s">
        <v>347</v>
      </c>
      <c r="E1941" s="5" t="s">
        <v>348</v>
      </c>
      <c r="F1941" s="5" t="s">
        <v>14</v>
      </c>
      <c r="G1941" s="6">
        <v>20160</v>
      </c>
      <c r="H1941" s="1934" t="str">
        <f>HYPERLINK("https://adv-map.ru/place/?LINK=5cc3a26ef71d05db82c7aaa54581d8f5","Ссылка")</f>
        <v>Ссылка</v>
      </c>
      <c r="I1941" s="5" t="s">
        <v>1995</v>
      </c>
    </row>
    <row r="1942" spans="1:9" s="4" customFormat="1" ht="38.1" customHeight="1" outlineLevel="1" x14ac:dyDescent="0.2">
      <c r="A1942" s="5" t="s">
        <v>340</v>
      </c>
      <c r="B1942" s="5" t="s">
        <v>354</v>
      </c>
      <c r="C1942" s="5" t="s">
        <v>1994</v>
      </c>
      <c r="D1942" s="5" t="s">
        <v>347</v>
      </c>
      <c r="E1942" s="5" t="s">
        <v>348</v>
      </c>
      <c r="F1942" s="5" t="s">
        <v>16</v>
      </c>
      <c r="G1942" s="6">
        <v>15120</v>
      </c>
      <c r="H1942" s="1935" t="str">
        <f>HYPERLINK("https://adv-map.ru/place/?LINK=83207582c9861dc15a8b5bf2bbc8f905","Ссылка")</f>
        <v>Ссылка</v>
      </c>
      <c r="I1942" s="5" t="s">
        <v>1995</v>
      </c>
    </row>
    <row r="1943" spans="1:9" s="4" customFormat="1" ht="38.1" customHeight="1" outlineLevel="1" x14ac:dyDescent="0.2">
      <c r="A1943" s="5" t="s">
        <v>340</v>
      </c>
      <c r="B1943" s="5" t="s">
        <v>354</v>
      </c>
      <c r="C1943" s="5" t="s">
        <v>1996</v>
      </c>
      <c r="D1943" s="5" t="s">
        <v>347</v>
      </c>
      <c r="E1943" s="5" t="s">
        <v>348</v>
      </c>
      <c r="F1943" s="5" t="s">
        <v>14</v>
      </c>
      <c r="G1943" s="6">
        <v>20160</v>
      </c>
      <c r="H1943" s="1936" t="str">
        <f>HYPERLINK("https://adv-map.ru/place/?LINK=50b293e7c0f7fc46872915a73f2dc15a","Ссылка")</f>
        <v>Ссылка</v>
      </c>
      <c r="I1943" s="5" t="s">
        <v>1997</v>
      </c>
    </row>
    <row r="1944" spans="1:9" s="4" customFormat="1" ht="38.1" customHeight="1" outlineLevel="1" x14ac:dyDescent="0.2">
      <c r="A1944" s="5" t="s">
        <v>340</v>
      </c>
      <c r="B1944" s="5" t="s">
        <v>354</v>
      </c>
      <c r="C1944" s="5" t="s">
        <v>1996</v>
      </c>
      <c r="D1944" s="5" t="s">
        <v>347</v>
      </c>
      <c r="E1944" s="5" t="s">
        <v>348</v>
      </c>
      <c r="F1944" s="5" t="s">
        <v>16</v>
      </c>
      <c r="G1944" s="6">
        <v>15120</v>
      </c>
      <c r="H1944" s="1937" t="str">
        <f>HYPERLINK("https://adv-map.ru/place/?LINK=a4dd5dde2780e02587f116fda4e47dff","Ссылка")</f>
        <v>Ссылка</v>
      </c>
      <c r="I1944" s="5" t="s">
        <v>1997</v>
      </c>
    </row>
    <row r="1945" spans="1:9" s="4" customFormat="1" ht="38.1" customHeight="1" outlineLevel="1" x14ac:dyDescent="0.2">
      <c r="A1945" s="5" t="s">
        <v>340</v>
      </c>
      <c r="B1945" s="5" t="s">
        <v>345</v>
      </c>
      <c r="C1945" s="5" t="s">
        <v>1998</v>
      </c>
      <c r="D1945" s="5" t="s">
        <v>347</v>
      </c>
      <c r="E1945" s="5" t="s">
        <v>348</v>
      </c>
      <c r="F1945" s="5" t="s">
        <v>14</v>
      </c>
      <c r="G1945" s="6">
        <v>25200</v>
      </c>
      <c r="H1945" s="1938" t="str">
        <f>HYPERLINK("https://adv-map.ru/place/?LINK=bd077f1af4076dc53b466084a7b2dc1c","Ссылка")</f>
        <v>Ссылка</v>
      </c>
      <c r="I1945" s="5" t="s">
        <v>1999</v>
      </c>
    </row>
    <row r="1946" spans="1:9" s="4" customFormat="1" ht="38.1" customHeight="1" outlineLevel="1" x14ac:dyDescent="0.2">
      <c r="A1946" s="5" t="s">
        <v>340</v>
      </c>
      <c r="B1946" s="5" t="s">
        <v>345</v>
      </c>
      <c r="C1946" s="5" t="s">
        <v>1998</v>
      </c>
      <c r="D1946" s="5" t="s">
        <v>347</v>
      </c>
      <c r="E1946" s="5" t="s">
        <v>348</v>
      </c>
      <c r="F1946" s="5" t="s">
        <v>16</v>
      </c>
      <c r="G1946" s="6">
        <v>20160</v>
      </c>
      <c r="H1946" s="1939" t="str">
        <f>HYPERLINK("https://adv-map.ru/place/?LINK=43dec46acb203cfbe1ec1ba286bb792d","Ссылка")</f>
        <v>Ссылка</v>
      </c>
      <c r="I1946" s="5" t="s">
        <v>1999</v>
      </c>
    </row>
    <row r="1947" spans="1:9" s="4" customFormat="1" ht="38.1" customHeight="1" outlineLevel="1" x14ac:dyDescent="0.2">
      <c r="A1947" s="5" t="s">
        <v>340</v>
      </c>
      <c r="B1947" s="5" t="s">
        <v>365</v>
      </c>
      <c r="C1947" s="5" t="s">
        <v>2000</v>
      </c>
      <c r="D1947" s="5" t="s">
        <v>347</v>
      </c>
      <c r="E1947" s="5" t="s">
        <v>348</v>
      </c>
      <c r="F1947" s="5" t="s">
        <v>14</v>
      </c>
      <c r="G1947" s="6">
        <v>22680</v>
      </c>
      <c r="H1947" s="1940" t="str">
        <f>HYPERLINK("https://adv-map.ru/place/?LINK=69dddb52d338ec6500f05a0e5c10d241","Ссылка")</f>
        <v>Ссылка</v>
      </c>
      <c r="I1947" s="5" t="s">
        <v>2001</v>
      </c>
    </row>
    <row r="1948" spans="1:9" s="4" customFormat="1" ht="38.1" customHeight="1" outlineLevel="1" x14ac:dyDescent="0.2">
      <c r="A1948" s="5" t="s">
        <v>340</v>
      </c>
      <c r="B1948" s="5" t="s">
        <v>365</v>
      </c>
      <c r="C1948" s="5" t="s">
        <v>2000</v>
      </c>
      <c r="D1948" s="5" t="s">
        <v>347</v>
      </c>
      <c r="E1948" s="5" t="s">
        <v>348</v>
      </c>
      <c r="F1948" s="5" t="s">
        <v>16</v>
      </c>
      <c r="G1948" s="6">
        <v>17640</v>
      </c>
      <c r="H1948" s="1941" t="str">
        <f>HYPERLINK("https://adv-map.ru/place/?LINK=1fede451391753efc61b9f5a56788a67","Ссылка")</f>
        <v>Ссылка</v>
      </c>
      <c r="I1948" s="5" t="s">
        <v>2001</v>
      </c>
    </row>
    <row r="1949" spans="1:9" s="4" customFormat="1" ht="38.1" customHeight="1" outlineLevel="1" x14ac:dyDescent="0.2">
      <c r="A1949" s="5" t="s">
        <v>340</v>
      </c>
      <c r="B1949" s="5" t="s">
        <v>365</v>
      </c>
      <c r="C1949" s="5" t="s">
        <v>2002</v>
      </c>
      <c r="D1949" s="5" t="s">
        <v>405</v>
      </c>
      <c r="E1949" s="5" t="s">
        <v>348</v>
      </c>
      <c r="F1949" s="5" t="s">
        <v>14</v>
      </c>
      <c r="G1949" s="6">
        <v>22680</v>
      </c>
      <c r="H1949" s="1942" t="str">
        <f>HYPERLINK("https://adv-map.ru/place/?LINK=5f3f0e074a7b769cc593fc75191bb75b","Ссылка")</f>
        <v>Ссылка</v>
      </c>
      <c r="I1949" s="5" t="s">
        <v>2003</v>
      </c>
    </row>
    <row r="1950" spans="1:9" s="4" customFormat="1" ht="38.1" customHeight="1" outlineLevel="1" x14ac:dyDescent="0.2">
      <c r="A1950" s="5" t="s">
        <v>340</v>
      </c>
      <c r="B1950" s="5" t="s">
        <v>365</v>
      </c>
      <c r="C1950" s="5" t="s">
        <v>2002</v>
      </c>
      <c r="D1950" s="5" t="s">
        <v>405</v>
      </c>
      <c r="E1950" s="5" t="s">
        <v>348</v>
      </c>
      <c r="F1950" s="5" t="s">
        <v>16</v>
      </c>
      <c r="G1950" s="6">
        <v>17640</v>
      </c>
      <c r="H1950" s="1943" t="str">
        <f>HYPERLINK("https://adv-map.ru/place/?LINK=41dc536fe51e4babd8b807cbe267d158","Ссылка")</f>
        <v>Ссылка</v>
      </c>
      <c r="I1950" s="5" t="s">
        <v>2003</v>
      </c>
    </row>
    <row r="1951" spans="1:9" s="4" customFormat="1" ht="38.1" customHeight="1" outlineLevel="1" x14ac:dyDescent="0.2">
      <c r="A1951" s="5" t="s">
        <v>340</v>
      </c>
      <c r="B1951" s="5" t="s">
        <v>365</v>
      </c>
      <c r="C1951" s="5" t="s">
        <v>2004</v>
      </c>
      <c r="D1951" s="5" t="s">
        <v>405</v>
      </c>
      <c r="E1951" s="5" t="s">
        <v>348</v>
      </c>
      <c r="F1951" s="5" t="s">
        <v>14</v>
      </c>
      <c r="G1951" s="6">
        <v>22680</v>
      </c>
      <c r="H1951" s="1944" t="str">
        <f>HYPERLINK("https://adv-map.ru/place/?LINK=594e72f068d224b78be5dae1a7c7db18","Ссылка")</f>
        <v>Ссылка</v>
      </c>
      <c r="I1951" s="5" t="s">
        <v>2005</v>
      </c>
    </row>
    <row r="1952" spans="1:9" s="4" customFormat="1" ht="38.1" customHeight="1" outlineLevel="1" x14ac:dyDescent="0.2">
      <c r="A1952" s="5" t="s">
        <v>340</v>
      </c>
      <c r="B1952" s="5" t="s">
        <v>365</v>
      </c>
      <c r="C1952" s="5" t="s">
        <v>2004</v>
      </c>
      <c r="D1952" s="5" t="s">
        <v>405</v>
      </c>
      <c r="E1952" s="5" t="s">
        <v>348</v>
      </c>
      <c r="F1952" s="5" t="s">
        <v>16</v>
      </c>
      <c r="G1952" s="6">
        <v>17640</v>
      </c>
      <c r="H1952" s="1945" t="str">
        <f>HYPERLINK("https://adv-map.ru/place/?LINK=1bef12e46627749fdf3ede35472271ee","Ссылка")</f>
        <v>Ссылка</v>
      </c>
      <c r="I1952" s="5" t="s">
        <v>2005</v>
      </c>
    </row>
    <row r="1953" spans="1:9" s="4" customFormat="1" ht="38.1" customHeight="1" outlineLevel="1" x14ac:dyDescent="0.2">
      <c r="A1953" s="5" t="s">
        <v>340</v>
      </c>
      <c r="B1953" s="5" t="s">
        <v>354</v>
      </c>
      <c r="C1953" s="5" t="s">
        <v>2006</v>
      </c>
      <c r="D1953" s="5" t="s">
        <v>12</v>
      </c>
      <c r="E1953" s="5" t="s">
        <v>13</v>
      </c>
      <c r="F1953" s="5" t="s">
        <v>14</v>
      </c>
      <c r="G1953" s="6">
        <v>35280</v>
      </c>
      <c r="H1953" s="1946" t="str">
        <f>HYPERLINK("https://adv-map.ru/place/?LINK=c3f3302be17d5dcfe1519d8ea782d1ad","Ссылка")</f>
        <v>Ссылка</v>
      </c>
      <c r="I1953" s="5" t="s">
        <v>2007</v>
      </c>
    </row>
    <row r="1954" spans="1:9" s="4" customFormat="1" ht="38.1" customHeight="1" outlineLevel="1" x14ac:dyDescent="0.2">
      <c r="A1954" s="5" t="s">
        <v>340</v>
      </c>
      <c r="B1954" s="5" t="s">
        <v>354</v>
      </c>
      <c r="C1954" s="5" t="s">
        <v>2006</v>
      </c>
      <c r="D1954" s="5" t="s">
        <v>12</v>
      </c>
      <c r="E1954" s="5" t="s">
        <v>13</v>
      </c>
      <c r="F1954" s="5" t="s">
        <v>16</v>
      </c>
      <c r="G1954" s="6">
        <v>27720</v>
      </c>
      <c r="H1954" s="1947" t="str">
        <f>HYPERLINK("https://adv-map.ru/place/?LINK=f5038b749f3b705131a23e55f0e955d4","Ссылка")</f>
        <v>Ссылка</v>
      </c>
      <c r="I1954" s="5" t="s">
        <v>2007</v>
      </c>
    </row>
    <row r="1955" spans="1:9" s="4" customFormat="1" ht="38.1" customHeight="1" outlineLevel="1" x14ac:dyDescent="0.2">
      <c r="A1955" s="5" t="s">
        <v>340</v>
      </c>
      <c r="B1955" s="5" t="s">
        <v>354</v>
      </c>
      <c r="C1955" s="5" t="s">
        <v>2008</v>
      </c>
      <c r="D1955" s="5" t="s">
        <v>12</v>
      </c>
      <c r="E1955" s="5" t="s">
        <v>13</v>
      </c>
      <c r="F1955" s="5" t="s">
        <v>14</v>
      </c>
      <c r="G1955" s="6">
        <v>37800</v>
      </c>
      <c r="H1955" s="1948" t="str">
        <f>HYPERLINK("https://adv-map.ru/place/?LINK=965f7fdaaa9863c21da7371b0e3753a2","Ссылка")</f>
        <v>Ссылка</v>
      </c>
      <c r="I1955" s="5" t="s">
        <v>2009</v>
      </c>
    </row>
    <row r="1956" spans="1:9" s="4" customFormat="1" ht="38.1" customHeight="1" outlineLevel="1" x14ac:dyDescent="0.2">
      <c r="A1956" s="5" t="s">
        <v>340</v>
      </c>
      <c r="B1956" s="5" t="s">
        <v>354</v>
      </c>
      <c r="C1956" s="5" t="s">
        <v>2008</v>
      </c>
      <c r="D1956" s="5" t="s">
        <v>12</v>
      </c>
      <c r="E1956" s="5" t="s">
        <v>13</v>
      </c>
      <c r="F1956" s="5" t="s">
        <v>16</v>
      </c>
      <c r="G1956" s="6">
        <v>30240</v>
      </c>
      <c r="H1956" s="1949" t="str">
        <f>HYPERLINK("https://adv-map.ru/place/?LINK=69540254d85eda08471d7b1228726c06","Ссылка")</f>
        <v>Ссылка</v>
      </c>
      <c r="I1956" s="5" t="s">
        <v>2009</v>
      </c>
    </row>
    <row r="1957" spans="1:9" s="4" customFormat="1" ht="38.1" customHeight="1" outlineLevel="1" x14ac:dyDescent="0.2">
      <c r="A1957" s="5" t="s">
        <v>340</v>
      </c>
      <c r="B1957" s="5" t="s">
        <v>354</v>
      </c>
      <c r="C1957" s="5" t="s">
        <v>2010</v>
      </c>
      <c r="D1957" s="5" t="s">
        <v>405</v>
      </c>
      <c r="E1957" s="5" t="s">
        <v>348</v>
      </c>
      <c r="F1957" s="5" t="s">
        <v>14</v>
      </c>
      <c r="G1957" s="6">
        <v>22680</v>
      </c>
      <c r="H1957" s="1950" t="str">
        <f>HYPERLINK("https://adv-map.ru/place/?LINK=55d470f1be9dbcba782efb01d01d6797","Ссылка")</f>
        <v>Ссылка</v>
      </c>
      <c r="I1957" s="5" t="s">
        <v>2011</v>
      </c>
    </row>
    <row r="1958" spans="1:9" s="4" customFormat="1" ht="51" customHeight="1" outlineLevel="1" x14ac:dyDescent="0.2">
      <c r="A1958" s="5" t="s">
        <v>340</v>
      </c>
      <c r="B1958" s="5" t="s">
        <v>354</v>
      </c>
      <c r="C1958" s="5" t="s">
        <v>2010</v>
      </c>
      <c r="D1958" s="5" t="s">
        <v>405</v>
      </c>
      <c r="E1958" s="5" t="s">
        <v>348</v>
      </c>
      <c r="F1958" s="5" t="s">
        <v>16</v>
      </c>
      <c r="G1958" s="6">
        <v>17640</v>
      </c>
      <c r="H1958" s="1951" t="str">
        <f>HYPERLINK("https://adv-map.ru/place/?LINK=8a5a37bf17a3672b486940de666b8440","Ссылка")</f>
        <v>Ссылка</v>
      </c>
      <c r="I1958" s="5" t="s">
        <v>2011</v>
      </c>
    </row>
    <row r="1959" spans="1:9" s="4" customFormat="1" ht="38.1" customHeight="1" outlineLevel="1" x14ac:dyDescent="0.2">
      <c r="A1959" s="5" t="s">
        <v>340</v>
      </c>
      <c r="B1959" s="5" t="s">
        <v>345</v>
      </c>
      <c r="C1959" s="5" t="s">
        <v>2012</v>
      </c>
      <c r="D1959" s="5" t="s">
        <v>43</v>
      </c>
      <c r="E1959" s="5" t="s">
        <v>414</v>
      </c>
      <c r="F1959" s="5" t="s">
        <v>14</v>
      </c>
      <c r="G1959" s="6">
        <v>31500</v>
      </c>
      <c r="H1959" s="1952" t="str">
        <f>HYPERLINK("https://adv-map.ru/place/?LINK=1900447157677f78f9c84252e5297764","Ссылка")</f>
        <v>Ссылка</v>
      </c>
      <c r="I1959" s="5" t="s">
        <v>2013</v>
      </c>
    </row>
    <row r="1960" spans="1:9" s="4" customFormat="1" ht="38.1" customHeight="1" outlineLevel="1" x14ac:dyDescent="0.2">
      <c r="A1960" s="5" t="s">
        <v>340</v>
      </c>
      <c r="B1960" s="5" t="s">
        <v>345</v>
      </c>
      <c r="C1960" s="5" t="s">
        <v>2012</v>
      </c>
      <c r="D1960" s="5" t="s">
        <v>43</v>
      </c>
      <c r="E1960" s="5" t="s">
        <v>414</v>
      </c>
      <c r="F1960" s="5" t="s">
        <v>16</v>
      </c>
      <c r="G1960" s="6">
        <v>25200</v>
      </c>
      <c r="H1960" s="1953" t="str">
        <f>HYPERLINK("https://adv-map.ru/place/?LINK=fde0c120b7f8cf2c1cbfd0a5307aa0fa","Ссылка")</f>
        <v>Ссылка</v>
      </c>
      <c r="I1960" s="5" t="s">
        <v>2013</v>
      </c>
    </row>
    <row r="1961" spans="1:9" s="4" customFormat="1" ht="38.1" customHeight="1" outlineLevel="1" x14ac:dyDescent="0.2">
      <c r="A1961" s="5" t="s">
        <v>340</v>
      </c>
      <c r="B1961" s="5" t="s">
        <v>345</v>
      </c>
      <c r="C1961" s="5" t="s">
        <v>2014</v>
      </c>
      <c r="D1961" s="5" t="s">
        <v>43</v>
      </c>
      <c r="E1961" s="5" t="s">
        <v>504</v>
      </c>
      <c r="F1961" s="5" t="s">
        <v>14</v>
      </c>
      <c r="G1961" s="6">
        <v>31500</v>
      </c>
      <c r="H1961" s="1954" t="str">
        <f>HYPERLINK("https://adv-map.ru/place/?LINK=661073a2836f253c01cf70bd23be696d","Ссылка")</f>
        <v>Ссылка</v>
      </c>
      <c r="I1961" s="5" t="s">
        <v>2015</v>
      </c>
    </row>
    <row r="1962" spans="1:9" s="4" customFormat="1" ht="51" customHeight="1" outlineLevel="1" x14ac:dyDescent="0.2">
      <c r="A1962" s="5" t="s">
        <v>340</v>
      </c>
      <c r="B1962" s="5" t="s">
        <v>345</v>
      </c>
      <c r="C1962" s="5" t="s">
        <v>2014</v>
      </c>
      <c r="D1962" s="5" t="s">
        <v>43</v>
      </c>
      <c r="E1962" s="5" t="s">
        <v>504</v>
      </c>
      <c r="F1962" s="5" t="s">
        <v>16</v>
      </c>
      <c r="G1962" s="6">
        <v>25200</v>
      </c>
      <c r="H1962" s="1955" t="str">
        <f>HYPERLINK("https://adv-map.ru/place/?LINK=70408d77d821119d2d31aa2d99ed6754","Ссылка")</f>
        <v>Ссылка</v>
      </c>
      <c r="I1962" s="5" t="s">
        <v>2015</v>
      </c>
    </row>
    <row r="1963" spans="1:9" s="4" customFormat="1" ht="38.1" customHeight="1" outlineLevel="1" x14ac:dyDescent="0.2">
      <c r="A1963" s="5" t="s">
        <v>340</v>
      </c>
      <c r="B1963" s="5" t="s">
        <v>345</v>
      </c>
      <c r="C1963" s="5" t="s">
        <v>2016</v>
      </c>
      <c r="D1963" s="5" t="s">
        <v>347</v>
      </c>
      <c r="E1963" s="5" t="s">
        <v>348</v>
      </c>
      <c r="F1963" s="5" t="s">
        <v>14</v>
      </c>
      <c r="G1963" s="6">
        <v>25200</v>
      </c>
      <c r="H1963" s="1956" t="str">
        <f>HYPERLINK("https://adv-map.ru/place/?LINK=44849e1d1ff4a5a495fca9be9b7cb7a2","Ссылка")</f>
        <v>Ссылка</v>
      </c>
      <c r="I1963" s="5" t="s">
        <v>2017</v>
      </c>
    </row>
    <row r="1964" spans="1:9" s="4" customFormat="1" ht="38.1" customHeight="1" outlineLevel="1" x14ac:dyDescent="0.2">
      <c r="A1964" s="5" t="s">
        <v>340</v>
      </c>
      <c r="B1964" s="5" t="s">
        <v>345</v>
      </c>
      <c r="C1964" s="5" t="s">
        <v>2016</v>
      </c>
      <c r="D1964" s="5" t="s">
        <v>347</v>
      </c>
      <c r="E1964" s="5" t="s">
        <v>348</v>
      </c>
      <c r="F1964" s="5" t="s">
        <v>16</v>
      </c>
      <c r="G1964" s="6">
        <v>20160</v>
      </c>
      <c r="H1964" s="1957" t="str">
        <f>HYPERLINK("https://adv-map.ru/place/?LINK=7f4a494537e74cbea25872fa11850e00","Ссылка")</f>
        <v>Ссылка</v>
      </c>
      <c r="I1964" s="5" t="s">
        <v>2017</v>
      </c>
    </row>
    <row r="1965" spans="1:9" s="4" customFormat="1" ht="38.1" customHeight="1" outlineLevel="1" x14ac:dyDescent="0.2">
      <c r="A1965" s="5" t="s">
        <v>340</v>
      </c>
      <c r="B1965" s="5" t="s">
        <v>345</v>
      </c>
      <c r="C1965" s="5" t="s">
        <v>2018</v>
      </c>
      <c r="D1965" s="5" t="s">
        <v>12</v>
      </c>
      <c r="E1965" s="5" t="s">
        <v>13</v>
      </c>
      <c r="F1965" s="5" t="s">
        <v>14</v>
      </c>
      <c r="G1965" s="6">
        <v>37800</v>
      </c>
      <c r="H1965" s="1958" t="str">
        <f>HYPERLINK("https://adv-map.ru/place/?LINK=a9afadb0c7ae356e9b46ad943c2b7ff4","Ссылка")</f>
        <v>Ссылка</v>
      </c>
      <c r="I1965" s="5" t="s">
        <v>2019</v>
      </c>
    </row>
    <row r="1966" spans="1:9" s="4" customFormat="1" ht="38.1" customHeight="1" outlineLevel="1" x14ac:dyDescent="0.2">
      <c r="A1966" s="5" t="s">
        <v>340</v>
      </c>
      <c r="B1966" s="5" t="s">
        <v>345</v>
      </c>
      <c r="C1966" s="5" t="s">
        <v>2018</v>
      </c>
      <c r="D1966" s="5" t="s">
        <v>12</v>
      </c>
      <c r="E1966" s="5" t="s">
        <v>13</v>
      </c>
      <c r="F1966" s="5" t="s">
        <v>16</v>
      </c>
      <c r="G1966" s="6">
        <v>31500</v>
      </c>
      <c r="H1966" s="1959" t="str">
        <f>HYPERLINK("https://adv-map.ru/place/?LINK=b6decf9a277641947d772b9decdd2554","Ссылка")</f>
        <v>Ссылка</v>
      </c>
      <c r="I1966" s="5" t="s">
        <v>2019</v>
      </c>
    </row>
    <row r="1967" spans="1:9" s="4" customFormat="1" ht="38.1" customHeight="1" outlineLevel="1" x14ac:dyDescent="0.2">
      <c r="A1967" s="5" t="s">
        <v>340</v>
      </c>
      <c r="B1967" s="5" t="s">
        <v>345</v>
      </c>
      <c r="C1967" s="5" t="s">
        <v>2020</v>
      </c>
      <c r="D1967" s="5" t="s">
        <v>12</v>
      </c>
      <c r="E1967" s="5" t="s">
        <v>13</v>
      </c>
      <c r="F1967" s="5" t="s">
        <v>14</v>
      </c>
      <c r="G1967" s="6">
        <v>37800</v>
      </c>
      <c r="H1967" s="1960" t="str">
        <f>HYPERLINK("https://adv-map.ru/place/?LINK=ac10c894495fa279e775fbd074f4cef9","Ссылка")</f>
        <v>Ссылка</v>
      </c>
      <c r="I1967" s="5" t="s">
        <v>2021</v>
      </c>
    </row>
    <row r="1968" spans="1:9" s="4" customFormat="1" ht="38.1" customHeight="1" outlineLevel="1" x14ac:dyDescent="0.2">
      <c r="A1968" s="5" t="s">
        <v>340</v>
      </c>
      <c r="B1968" s="5" t="s">
        <v>345</v>
      </c>
      <c r="C1968" s="5" t="s">
        <v>2020</v>
      </c>
      <c r="D1968" s="5" t="s">
        <v>49</v>
      </c>
      <c r="E1968" s="5" t="s">
        <v>13</v>
      </c>
      <c r="F1968" s="5" t="s">
        <v>28</v>
      </c>
      <c r="G1968" s="6">
        <v>37800</v>
      </c>
      <c r="H1968" s="1961" t="str">
        <f>HYPERLINK("https://adv-map.ru/place/?LINK=19c6a1a2429c7dada38b13896f2b3e0a","Ссылка")</f>
        <v>Ссылка</v>
      </c>
      <c r="I1968" s="5" t="s">
        <v>2022</v>
      </c>
    </row>
    <row r="1969" spans="1:9" s="4" customFormat="1" ht="38.1" customHeight="1" outlineLevel="1" x14ac:dyDescent="0.2">
      <c r="A1969" s="5" t="s">
        <v>340</v>
      </c>
      <c r="B1969" s="5" t="s">
        <v>345</v>
      </c>
      <c r="C1969" s="5" t="s">
        <v>2020</v>
      </c>
      <c r="D1969" s="5" t="s">
        <v>49</v>
      </c>
      <c r="E1969" s="5" t="s">
        <v>13</v>
      </c>
      <c r="F1969" s="5" t="s">
        <v>30</v>
      </c>
      <c r="G1969" s="6">
        <v>37800</v>
      </c>
      <c r="H1969" s="1962" t="str">
        <f>HYPERLINK("https://adv-map.ru/place/?LINK=4c9d3236585e883994b07b05136f7ef8","Ссылка")</f>
        <v>Ссылка</v>
      </c>
      <c r="I1969" s="5" t="s">
        <v>2022</v>
      </c>
    </row>
    <row r="1970" spans="1:9" s="4" customFormat="1" ht="38.1" customHeight="1" outlineLevel="1" x14ac:dyDescent="0.2">
      <c r="A1970" s="5" t="s">
        <v>340</v>
      </c>
      <c r="B1970" s="5" t="s">
        <v>345</v>
      </c>
      <c r="C1970" s="5" t="s">
        <v>2020</v>
      </c>
      <c r="D1970" s="5" t="s">
        <v>49</v>
      </c>
      <c r="E1970" s="5" t="s">
        <v>13</v>
      </c>
      <c r="F1970" s="5" t="s">
        <v>31</v>
      </c>
      <c r="G1970" s="6">
        <v>37800</v>
      </c>
      <c r="H1970" s="1963" t="str">
        <f>HYPERLINK("https://adv-map.ru/place/?LINK=885533aef4990fb850f4249857035dc2","Ссылка")</f>
        <v>Ссылка</v>
      </c>
      <c r="I1970" s="5" t="s">
        <v>2022</v>
      </c>
    </row>
    <row r="1971" spans="1:9" s="4" customFormat="1" ht="38.1" customHeight="1" outlineLevel="1" x14ac:dyDescent="0.2">
      <c r="A1971" s="5" t="s">
        <v>340</v>
      </c>
      <c r="B1971" s="5" t="s">
        <v>345</v>
      </c>
      <c r="C1971" s="5" t="s">
        <v>2020</v>
      </c>
      <c r="D1971" s="5" t="s">
        <v>12</v>
      </c>
      <c r="E1971" s="5" t="s">
        <v>13</v>
      </c>
      <c r="F1971" s="5" t="s">
        <v>16</v>
      </c>
      <c r="G1971" s="6">
        <v>31500</v>
      </c>
      <c r="H1971" s="1964" t="str">
        <f>HYPERLINK("https://adv-map.ru/place/?LINK=9dd3de9c59f2e4abf0e9a67e1ba6de42","Ссылка")</f>
        <v>Ссылка</v>
      </c>
      <c r="I1971" s="5" t="s">
        <v>2021</v>
      </c>
    </row>
    <row r="1972" spans="1:9" s="4" customFormat="1" ht="38.1" customHeight="1" outlineLevel="1" x14ac:dyDescent="0.2">
      <c r="A1972" s="5" t="s">
        <v>340</v>
      </c>
      <c r="B1972" s="5" t="s">
        <v>851</v>
      </c>
      <c r="C1972" s="5" t="s">
        <v>2023</v>
      </c>
      <c r="D1972" s="5" t="s">
        <v>12</v>
      </c>
      <c r="E1972" s="5" t="s">
        <v>13</v>
      </c>
      <c r="F1972" s="5" t="s">
        <v>14</v>
      </c>
      <c r="G1972" s="6">
        <v>31500</v>
      </c>
      <c r="H1972" s="1965" t="str">
        <f>HYPERLINK("https://adv-map.ru/place/?LINK=428022b1b3656984c41be39b582e0add","Ссылка")</f>
        <v>Ссылка</v>
      </c>
      <c r="I1972" s="5" t="s">
        <v>2024</v>
      </c>
    </row>
    <row r="1973" spans="1:9" s="4" customFormat="1" ht="38.1" customHeight="1" outlineLevel="1" x14ac:dyDescent="0.2">
      <c r="A1973" s="5" t="s">
        <v>340</v>
      </c>
      <c r="B1973" s="5" t="s">
        <v>851</v>
      </c>
      <c r="C1973" s="5" t="s">
        <v>2023</v>
      </c>
      <c r="D1973" s="5" t="s">
        <v>12</v>
      </c>
      <c r="E1973" s="5" t="s">
        <v>13</v>
      </c>
      <c r="F1973" s="5" t="s">
        <v>16</v>
      </c>
      <c r="G1973" s="6">
        <v>23100</v>
      </c>
      <c r="H1973" s="1966" t="str">
        <f>HYPERLINK("https://adv-map.ru/place/?LINK=11298e4e4ca5a2dc3b87ae72e29010a4","Ссылка")</f>
        <v>Ссылка</v>
      </c>
      <c r="I1973" s="5" t="s">
        <v>2024</v>
      </c>
    </row>
    <row r="1974" spans="1:9" s="4" customFormat="1" ht="38.1" customHeight="1" outlineLevel="1" x14ac:dyDescent="0.2">
      <c r="A1974" s="5" t="s">
        <v>340</v>
      </c>
      <c r="B1974" s="5" t="s">
        <v>851</v>
      </c>
      <c r="C1974" s="5" t="s">
        <v>2025</v>
      </c>
      <c r="D1974" s="5" t="s">
        <v>12</v>
      </c>
      <c r="E1974" s="5" t="s">
        <v>13</v>
      </c>
      <c r="F1974" s="5" t="s">
        <v>14</v>
      </c>
      <c r="G1974" s="6">
        <v>31500</v>
      </c>
      <c r="H1974" s="1967" t="str">
        <f>HYPERLINK("https://adv-map.ru/place/?LINK=81bcca5acda906e5e80a75ec70c5d4ce","Ссылка")</f>
        <v>Ссылка</v>
      </c>
      <c r="I1974" s="5" t="s">
        <v>2026</v>
      </c>
    </row>
    <row r="1975" spans="1:9" s="4" customFormat="1" ht="38.1" customHeight="1" outlineLevel="1" x14ac:dyDescent="0.2">
      <c r="A1975" s="5" t="s">
        <v>340</v>
      </c>
      <c r="B1975" s="5" t="s">
        <v>851</v>
      </c>
      <c r="C1975" s="5" t="s">
        <v>2025</v>
      </c>
      <c r="D1975" s="5" t="s">
        <v>12</v>
      </c>
      <c r="E1975" s="5" t="s">
        <v>13</v>
      </c>
      <c r="F1975" s="5" t="s">
        <v>16</v>
      </c>
      <c r="G1975" s="6">
        <v>23100</v>
      </c>
      <c r="H1975" s="1968" t="str">
        <f>HYPERLINK("https://adv-map.ru/place/?LINK=22ef89481deaef126913df6c7e5fe011","Ссылка")</f>
        <v>Ссылка</v>
      </c>
      <c r="I1975" s="5" t="s">
        <v>2026</v>
      </c>
    </row>
    <row r="1976" spans="1:9" s="4" customFormat="1" ht="38.1" customHeight="1" outlineLevel="1" x14ac:dyDescent="0.2">
      <c r="A1976" s="5" t="s">
        <v>340</v>
      </c>
      <c r="B1976" s="5" t="s">
        <v>851</v>
      </c>
      <c r="C1976" s="5" t="s">
        <v>2027</v>
      </c>
      <c r="D1976" s="5" t="s">
        <v>12</v>
      </c>
      <c r="E1976" s="5" t="s">
        <v>13</v>
      </c>
      <c r="F1976" s="5" t="s">
        <v>14</v>
      </c>
      <c r="G1976" s="6">
        <v>31500</v>
      </c>
      <c r="H1976" s="1969" t="str">
        <f>HYPERLINK("https://adv-map.ru/place/?LINK=21699046b38f1cf5f1251a001c813be8","Ссылка")</f>
        <v>Ссылка</v>
      </c>
      <c r="I1976" s="5" t="s">
        <v>2028</v>
      </c>
    </row>
    <row r="1977" spans="1:9" s="4" customFormat="1" ht="38.1" customHeight="1" outlineLevel="1" x14ac:dyDescent="0.2">
      <c r="A1977" s="5" t="s">
        <v>340</v>
      </c>
      <c r="B1977" s="5" t="s">
        <v>851</v>
      </c>
      <c r="C1977" s="5" t="s">
        <v>2027</v>
      </c>
      <c r="D1977" s="5" t="s">
        <v>12</v>
      </c>
      <c r="E1977" s="5" t="s">
        <v>13</v>
      </c>
      <c r="F1977" s="5" t="s">
        <v>16</v>
      </c>
      <c r="G1977" s="6">
        <v>23100</v>
      </c>
      <c r="H1977" s="1970" t="str">
        <f>HYPERLINK("https://adv-map.ru/place/?LINK=fe3bec7faa196f1a2a6dad4fefb0f79b","Ссылка")</f>
        <v>Ссылка</v>
      </c>
      <c r="I1977" s="5" t="s">
        <v>2028</v>
      </c>
    </row>
    <row r="1978" spans="1:9" s="4" customFormat="1" ht="38.1" customHeight="1" outlineLevel="1" x14ac:dyDescent="0.2">
      <c r="A1978" s="5" t="s">
        <v>340</v>
      </c>
      <c r="B1978" s="5" t="s">
        <v>341</v>
      </c>
      <c r="C1978" s="5" t="s">
        <v>2029</v>
      </c>
      <c r="D1978" s="5" t="s">
        <v>12</v>
      </c>
      <c r="E1978" s="5" t="s">
        <v>13</v>
      </c>
      <c r="F1978" s="5" t="s">
        <v>14</v>
      </c>
      <c r="G1978" s="6">
        <v>31500</v>
      </c>
      <c r="H1978" s="1971" t="str">
        <f>HYPERLINK("https://adv-map.ru/place/?LINK=0bedd3b9d772b08ebf3c45bb4a09db23","Ссылка")</f>
        <v>Ссылка</v>
      </c>
      <c r="I1978" s="5" t="s">
        <v>2030</v>
      </c>
    </row>
    <row r="1979" spans="1:9" s="4" customFormat="1" ht="38.1" customHeight="1" outlineLevel="1" x14ac:dyDescent="0.2">
      <c r="A1979" s="5" t="s">
        <v>340</v>
      </c>
      <c r="B1979" s="5" t="s">
        <v>341</v>
      </c>
      <c r="C1979" s="5" t="s">
        <v>2029</v>
      </c>
      <c r="D1979" s="5" t="s">
        <v>12</v>
      </c>
      <c r="E1979" s="5" t="s">
        <v>13</v>
      </c>
      <c r="F1979" s="5" t="s">
        <v>16</v>
      </c>
      <c r="G1979" s="6">
        <v>25200</v>
      </c>
      <c r="H1979" s="1972" t="str">
        <f>HYPERLINK("https://adv-map.ru/place/?LINK=093d6a8b4c19c4abf063bceb623ca131","Ссылка")</f>
        <v>Ссылка</v>
      </c>
      <c r="I1979" s="5" t="s">
        <v>2030</v>
      </c>
    </row>
    <row r="1980" spans="1:9" s="4" customFormat="1" ht="38.1" customHeight="1" outlineLevel="1" x14ac:dyDescent="0.2">
      <c r="A1980" s="5" t="s">
        <v>340</v>
      </c>
      <c r="B1980" s="5" t="s">
        <v>851</v>
      </c>
      <c r="C1980" s="5" t="s">
        <v>2031</v>
      </c>
      <c r="D1980" s="5" t="s">
        <v>12</v>
      </c>
      <c r="E1980" s="5" t="s">
        <v>13</v>
      </c>
      <c r="F1980" s="5" t="s">
        <v>14</v>
      </c>
      <c r="G1980" s="6">
        <v>31500</v>
      </c>
      <c r="H1980" s="1973" t="str">
        <f>HYPERLINK("https://adv-map.ru/place/?LINK=1f4e8b88a58ea0b0720ce610caaf7c73","Ссылка")</f>
        <v>Ссылка</v>
      </c>
      <c r="I1980" s="5" t="s">
        <v>2032</v>
      </c>
    </row>
    <row r="1981" spans="1:9" s="4" customFormat="1" ht="38.1" customHeight="1" outlineLevel="1" x14ac:dyDescent="0.2">
      <c r="A1981" s="5" t="s">
        <v>340</v>
      </c>
      <c r="B1981" s="5" t="s">
        <v>851</v>
      </c>
      <c r="C1981" s="5" t="s">
        <v>2031</v>
      </c>
      <c r="D1981" s="5" t="s">
        <v>12</v>
      </c>
      <c r="E1981" s="5" t="s">
        <v>13</v>
      </c>
      <c r="F1981" s="5" t="s">
        <v>16</v>
      </c>
      <c r="G1981" s="6">
        <v>25200</v>
      </c>
      <c r="H1981" s="1974" t="str">
        <f>HYPERLINK("https://adv-map.ru/place/?LINK=3c266c7b9a299621057c3cfd686f418e","Ссылка")</f>
        <v>Ссылка</v>
      </c>
      <c r="I1981" s="5" t="s">
        <v>2032</v>
      </c>
    </row>
    <row r="1982" spans="1:9" s="4" customFormat="1" ht="38.1" customHeight="1" outlineLevel="1" x14ac:dyDescent="0.2">
      <c r="A1982" s="5" t="s">
        <v>340</v>
      </c>
      <c r="B1982" s="5" t="s">
        <v>851</v>
      </c>
      <c r="C1982" s="5" t="s">
        <v>2033</v>
      </c>
      <c r="D1982" s="5" t="s">
        <v>12</v>
      </c>
      <c r="E1982" s="5" t="s">
        <v>13</v>
      </c>
      <c r="F1982" s="5" t="s">
        <v>14</v>
      </c>
      <c r="G1982" s="6">
        <v>25200</v>
      </c>
      <c r="H1982" s="1975" t="str">
        <f>HYPERLINK("https://adv-map.ru/place/?LINK=a55548c646eef3bf2f9a1507da3f3df0","Ссылка")</f>
        <v>Ссылка</v>
      </c>
      <c r="I1982" s="5" t="s">
        <v>2034</v>
      </c>
    </row>
    <row r="1983" spans="1:9" s="4" customFormat="1" ht="38.1" customHeight="1" outlineLevel="1" x14ac:dyDescent="0.2">
      <c r="A1983" s="5" t="s">
        <v>340</v>
      </c>
      <c r="B1983" s="5" t="s">
        <v>851</v>
      </c>
      <c r="C1983" s="5" t="s">
        <v>2033</v>
      </c>
      <c r="D1983" s="5" t="s">
        <v>12</v>
      </c>
      <c r="E1983" s="5" t="s">
        <v>13</v>
      </c>
      <c r="F1983" s="5" t="s">
        <v>16</v>
      </c>
      <c r="G1983" s="6">
        <v>20160</v>
      </c>
      <c r="H1983" s="1976" t="str">
        <f>HYPERLINK("https://adv-map.ru/place/?LINK=f5232df959d4724362bc0ca4226d94fb","Ссылка")</f>
        <v>Ссылка</v>
      </c>
      <c r="I1983" s="5" t="s">
        <v>2034</v>
      </c>
    </row>
    <row r="1984" spans="1:9" s="4" customFormat="1" ht="38.1" customHeight="1" outlineLevel="1" x14ac:dyDescent="0.2">
      <c r="A1984" s="5" t="s">
        <v>340</v>
      </c>
      <c r="B1984" s="5" t="s">
        <v>851</v>
      </c>
      <c r="C1984" s="5" t="s">
        <v>2035</v>
      </c>
      <c r="D1984" s="5" t="s">
        <v>12</v>
      </c>
      <c r="E1984" s="5" t="s">
        <v>13</v>
      </c>
      <c r="F1984" s="5" t="s">
        <v>14</v>
      </c>
      <c r="G1984" s="6">
        <v>25200</v>
      </c>
      <c r="H1984" s="1977" t="str">
        <f>HYPERLINK("https://adv-map.ru/place/?LINK=ea2df6d03d30a28ff6dd1fcbd20cc6de","Ссылка")</f>
        <v>Ссылка</v>
      </c>
      <c r="I1984" s="5" t="s">
        <v>2036</v>
      </c>
    </row>
    <row r="1985" spans="1:9" s="4" customFormat="1" ht="38.1" customHeight="1" outlineLevel="1" x14ac:dyDescent="0.2">
      <c r="A1985" s="5" t="s">
        <v>340</v>
      </c>
      <c r="B1985" s="5" t="s">
        <v>851</v>
      </c>
      <c r="C1985" s="5" t="s">
        <v>2035</v>
      </c>
      <c r="D1985" s="5" t="s">
        <v>12</v>
      </c>
      <c r="E1985" s="5" t="s">
        <v>13</v>
      </c>
      <c r="F1985" s="5" t="s">
        <v>16</v>
      </c>
      <c r="G1985" s="6">
        <v>20160</v>
      </c>
      <c r="H1985" s="1978" t="str">
        <f>HYPERLINK("https://adv-map.ru/place/?LINK=190a931ecd98d198a78e79fb54fc47f5","Ссылка")</f>
        <v>Ссылка</v>
      </c>
      <c r="I1985" s="5" t="s">
        <v>2036</v>
      </c>
    </row>
    <row r="1986" spans="1:9" s="4" customFormat="1" ht="38.1" customHeight="1" outlineLevel="1" x14ac:dyDescent="0.2">
      <c r="A1986" s="5" t="s">
        <v>340</v>
      </c>
      <c r="B1986" s="5" t="s">
        <v>851</v>
      </c>
      <c r="C1986" s="5" t="s">
        <v>2037</v>
      </c>
      <c r="D1986" s="5" t="s">
        <v>12</v>
      </c>
      <c r="E1986" s="5" t="s">
        <v>13</v>
      </c>
      <c r="F1986" s="5" t="s">
        <v>14</v>
      </c>
      <c r="G1986" s="6">
        <v>25200</v>
      </c>
      <c r="H1986" s="1979" t="str">
        <f>HYPERLINK("https://adv-map.ru/place/?LINK=4557340fb18ffd762e36974e2f07f11b","Ссылка")</f>
        <v>Ссылка</v>
      </c>
      <c r="I1986" s="5" t="s">
        <v>2038</v>
      </c>
    </row>
    <row r="1987" spans="1:9" s="4" customFormat="1" ht="38.1" customHeight="1" outlineLevel="1" x14ac:dyDescent="0.2">
      <c r="A1987" s="5" t="s">
        <v>340</v>
      </c>
      <c r="B1987" s="5" t="s">
        <v>851</v>
      </c>
      <c r="C1987" s="5" t="s">
        <v>2037</v>
      </c>
      <c r="D1987" s="5" t="s">
        <v>12</v>
      </c>
      <c r="E1987" s="5" t="s">
        <v>13</v>
      </c>
      <c r="F1987" s="5" t="s">
        <v>16</v>
      </c>
      <c r="G1987" s="6">
        <v>20160</v>
      </c>
      <c r="H1987" s="1980" t="str">
        <f>HYPERLINK("https://adv-map.ru/place/?LINK=c06dd40f505688029fb58e860f2a2f4e","Ссылка")</f>
        <v>Ссылка</v>
      </c>
      <c r="I1987" s="5" t="s">
        <v>2038</v>
      </c>
    </row>
    <row r="1988" spans="1:9" s="4" customFormat="1" ht="38.1" customHeight="1" outlineLevel="1" x14ac:dyDescent="0.2">
      <c r="A1988" s="5" t="s">
        <v>340</v>
      </c>
      <c r="B1988" s="5" t="s">
        <v>851</v>
      </c>
      <c r="C1988" s="5" t="s">
        <v>2039</v>
      </c>
      <c r="D1988" s="5" t="s">
        <v>12</v>
      </c>
      <c r="E1988" s="5" t="s">
        <v>13</v>
      </c>
      <c r="F1988" s="5" t="s">
        <v>14</v>
      </c>
      <c r="G1988" s="6">
        <v>25200</v>
      </c>
      <c r="H1988" s="1981" t="str">
        <f>HYPERLINK("https://adv-map.ru/place/?LINK=f206ddc51e0e6f090530da4e0e62b83a","Ссылка")</f>
        <v>Ссылка</v>
      </c>
      <c r="I1988" s="5" t="s">
        <v>2040</v>
      </c>
    </row>
    <row r="1989" spans="1:9" s="4" customFormat="1" ht="38.1" customHeight="1" outlineLevel="1" x14ac:dyDescent="0.2">
      <c r="A1989" s="5" t="s">
        <v>340</v>
      </c>
      <c r="B1989" s="5" t="s">
        <v>851</v>
      </c>
      <c r="C1989" s="5" t="s">
        <v>2039</v>
      </c>
      <c r="D1989" s="5" t="s">
        <v>12</v>
      </c>
      <c r="E1989" s="5" t="s">
        <v>13</v>
      </c>
      <c r="F1989" s="5" t="s">
        <v>16</v>
      </c>
      <c r="G1989" s="6">
        <v>20160</v>
      </c>
      <c r="H1989" s="1982" t="str">
        <f>HYPERLINK("https://adv-map.ru/place/?LINK=e638254c2e53c54d6ccbdc7249a4a085","Ссылка")</f>
        <v>Ссылка</v>
      </c>
      <c r="I1989" s="5" t="s">
        <v>2040</v>
      </c>
    </row>
    <row r="1990" spans="1:9" s="4" customFormat="1" ht="38.1" customHeight="1" outlineLevel="1" x14ac:dyDescent="0.2">
      <c r="A1990" s="5" t="s">
        <v>340</v>
      </c>
      <c r="B1990" s="5" t="s">
        <v>851</v>
      </c>
      <c r="C1990" s="5" t="s">
        <v>2041</v>
      </c>
      <c r="D1990" s="5" t="s">
        <v>12</v>
      </c>
      <c r="E1990" s="5" t="s">
        <v>13</v>
      </c>
      <c r="F1990" s="5" t="s">
        <v>14</v>
      </c>
      <c r="G1990" s="6">
        <v>25200</v>
      </c>
      <c r="H1990" s="1983" t="str">
        <f>HYPERLINK("https://adv-map.ru/place/?LINK=208627392623e353e7dbd479d0fa7149","Ссылка")</f>
        <v>Ссылка</v>
      </c>
      <c r="I1990" s="5" t="s">
        <v>2042</v>
      </c>
    </row>
    <row r="1991" spans="1:9" s="4" customFormat="1" ht="38.1" customHeight="1" outlineLevel="1" x14ac:dyDescent="0.2">
      <c r="A1991" s="5" t="s">
        <v>340</v>
      </c>
      <c r="B1991" s="5" t="s">
        <v>851</v>
      </c>
      <c r="C1991" s="5" t="s">
        <v>2041</v>
      </c>
      <c r="D1991" s="5" t="s">
        <v>12</v>
      </c>
      <c r="E1991" s="5" t="s">
        <v>13</v>
      </c>
      <c r="F1991" s="5" t="s">
        <v>16</v>
      </c>
      <c r="G1991" s="6">
        <v>20160</v>
      </c>
      <c r="H1991" s="1984" t="str">
        <f>HYPERLINK("https://adv-map.ru/place/?LINK=dbf08f4115afbfdc5f9c6a61cffc4acf","Ссылка")</f>
        <v>Ссылка</v>
      </c>
      <c r="I1991" s="5" t="s">
        <v>2042</v>
      </c>
    </row>
    <row r="1992" spans="1:9" s="4" customFormat="1" ht="38.1" customHeight="1" outlineLevel="1" x14ac:dyDescent="0.2">
      <c r="A1992" s="5" t="s">
        <v>340</v>
      </c>
      <c r="B1992" s="5" t="s">
        <v>851</v>
      </c>
      <c r="C1992" s="5" t="s">
        <v>2043</v>
      </c>
      <c r="D1992" s="5" t="s">
        <v>12</v>
      </c>
      <c r="E1992" s="5" t="s">
        <v>13</v>
      </c>
      <c r="F1992" s="5" t="s">
        <v>14</v>
      </c>
      <c r="G1992" s="6">
        <v>25200</v>
      </c>
      <c r="H1992" s="1985" t="str">
        <f>HYPERLINK("https://adv-map.ru/place/?LINK=a751f3718a0300169c62ce680c6f9005","Ссылка")</f>
        <v>Ссылка</v>
      </c>
      <c r="I1992" s="5" t="s">
        <v>2044</v>
      </c>
    </row>
    <row r="1993" spans="1:9" s="4" customFormat="1" ht="51" customHeight="1" outlineLevel="1" x14ac:dyDescent="0.2">
      <c r="A1993" s="5" t="s">
        <v>340</v>
      </c>
      <c r="B1993" s="5" t="s">
        <v>851</v>
      </c>
      <c r="C1993" s="5" t="s">
        <v>2043</v>
      </c>
      <c r="D1993" s="5" t="s">
        <v>12</v>
      </c>
      <c r="E1993" s="5" t="s">
        <v>13</v>
      </c>
      <c r="F1993" s="5" t="s">
        <v>16</v>
      </c>
      <c r="G1993" s="6">
        <v>20160</v>
      </c>
      <c r="H1993" s="1986" t="str">
        <f>HYPERLINK("https://adv-map.ru/place/?LINK=753ab434e73e49187e8094ead2bbbd00","Ссылка")</f>
        <v>Ссылка</v>
      </c>
      <c r="I1993" s="5" t="s">
        <v>2044</v>
      </c>
    </row>
    <row r="1994" spans="1:9" s="4" customFormat="1" ht="38.1" customHeight="1" outlineLevel="1" x14ac:dyDescent="0.2">
      <c r="A1994" s="5" t="s">
        <v>340</v>
      </c>
      <c r="B1994" s="5" t="s">
        <v>851</v>
      </c>
      <c r="C1994" s="5" t="s">
        <v>2045</v>
      </c>
      <c r="D1994" s="5" t="s">
        <v>12</v>
      </c>
      <c r="E1994" s="5" t="s">
        <v>13</v>
      </c>
      <c r="F1994" s="5" t="s">
        <v>14</v>
      </c>
      <c r="G1994" s="6">
        <v>25200</v>
      </c>
      <c r="H1994" s="1987" t="str">
        <f>HYPERLINK("https://adv-map.ru/place/?LINK=38387a82ac400fab9c4708ce89a23761","Ссылка")</f>
        <v>Ссылка</v>
      </c>
      <c r="I1994" s="5" t="s">
        <v>2046</v>
      </c>
    </row>
    <row r="1995" spans="1:9" s="4" customFormat="1" ht="38.1" customHeight="1" outlineLevel="1" x14ac:dyDescent="0.2">
      <c r="A1995" s="5" t="s">
        <v>340</v>
      </c>
      <c r="B1995" s="5" t="s">
        <v>851</v>
      </c>
      <c r="C1995" s="5" t="s">
        <v>2045</v>
      </c>
      <c r="D1995" s="5" t="s">
        <v>12</v>
      </c>
      <c r="E1995" s="5" t="s">
        <v>13</v>
      </c>
      <c r="F1995" s="5" t="s">
        <v>16</v>
      </c>
      <c r="G1995" s="6">
        <v>20160</v>
      </c>
      <c r="H1995" s="1988" t="str">
        <f>HYPERLINK("https://adv-map.ru/place/?LINK=3befb60668ee0255cb4d4727e1910f1b","Ссылка")</f>
        <v>Ссылка</v>
      </c>
      <c r="I1995" s="5" t="s">
        <v>2046</v>
      </c>
    </row>
    <row r="1996" spans="1:9" s="4" customFormat="1" ht="38.1" customHeight="1" outlineLevel="1" x14ac:dyDescent="0.2">
      <c r="A1996" s="5" t="s">
        <v>340</v>
      </c>
      <c r="B1996" s="5" t="s">
        <v>851</v>
      </c>
      <c r="C1996" s="5" t="s">
        <v>2047</v>
      </c>
      <c r="D1996" s="5" t="s">
        <v>12</v>
      </c>
      <c r="E1996" s="5" t="s">
        <v>13</v>
      </c>
      <c r="F1996" s="5" t="s">
        <v>14</v>
      </c>
      <c r="G1996" s="6">
        <v>25200</v>
      </c>
      <c r="H1996" s="1989" t="str">
        <f>HYPERLINK("https://adv-map.ru/place/?LINK=b972225b756c08ec1358c940ca2c11f7","Ссылка")</f>
        <v>Ссылка</v>
      </c>
      <c r="I1996" s="5" t="s">
        <v>2048</v>
      </c>
    </row>
    <row r="1997" spans="1:9" s="4" customFormat="1" ht="38.1" customHeight="1" outlineLevel="1" x14ac:dyDescent="0.2">
      <c r="A1997" s="5" t="s">
        <v>340</v>
      </c>
      <c r="B1997" s="5" t="s">
        <v>851</v>
      </c>
      <c r="C1997" s="5" t="s">
        <v>2047</v>
      </c>
      <c r="D1997" s="5" t="s">
        <v>12</v>
      </c>
      <c r="E1997" s="5" t="s">
        <v>13</v>
      </c>
      <c r="F1997" s="5" t="s">
        <v>16</v>
      </c>
      <c r="G1997" s="6">
        <v>20160</v>
      </c>
      <c r="H1997" s="1990" t="str">
        <f>HYPERLINK("https://adv-map.ru/place/?LINK=d9aec5313a0d4e522bfc453ab6624d01","Ссылка")</f>
        <v>Ссылка</v>
      </c>
      <c r="I1997" s="5" t="s">
        <v>2048</v>
      </c>
    </row>
    <row r="1998" spans="1:9" s="4" customFormat="1" ht="38.1" customHeight="1" outlineLevel="1" x14ac:dyDescent="0.2">
      <c r="A1998" s="5" t="s">
        <v>340</v>
      </c>
      <c r="B1998" s="5" t="s">
        <v>851</v>
      </c>
      <c r="C1998" s="5" t="s">
        <v>2049</v>
      </c>
      <c r="D1998" s="5" t="s">
        <v>12</v>
      </c>
      <c r="E1998" s="5" t="s">
        <v>13</v>
      </c>
      <c r="F1998" s="5" t="s">
        <v>14</v>
      </c>
      <c r="G1998" s="6">
        <v>25200</v>
      </c>
      <c r="H1998" s="1991" t="str">
        <f>HYPERLINK("https://adv-map.ru/place/?LINK=316cf951921df09fd743cb04377c0786","Ссылка")</f>
        <v>Ссылка</v>
      </c>
      <c r="I1998" s="5" t="s">
        <v>2050</v>
      </c>
    </row>
    <row r="1999" spans="1:9" s="4" customFormat="1" ht="38.1" customHeight="1" outlineLevel="1" x14ac:dyDescent="0.2">
      <c r="A1999" s="5" t="s">
        <v>340</v>
      </c>
      <c r="B1999" s="5" t="s">
        <v>851</v>
      </c>
      <c r="C1999" s="5" t="s">
        <v>2049</v>
      </c>
      <c r="D1999" s="5" t="s">
        <v>12</v>
      </c>
      <c r="E1999" s="5" t="s">
        <v>13</v>
      </c>
      <c r="F1999" s="5" t="s">
        <v>16</v>
      </c>
      <c r="G1999" s="6">
        <v>20160</v>
      </c>
      <c r="H1999" s="1992" t="str">
        <f>HYPERLINK("https://adv-map.ru/place/?LINK=2b5631ee6b528890f98ef5ed8f3ee528","Ссылка")</f>
        <v>Ссылка</v>
      </c>
      <c r="I1999" s="5" t="s">
        <v>2050</v>
      </c>
    </row>
    <row r="2000" spans="1:9" s="4" customFormat="1" ht="38.1" customHeight="1" outlineLevel="1" x14ac:dyDescent="0.2">
      <c r="A2000" s="5" t="s">
        <v>340</v>
      </c>
      <c r="B2000" s="5" t="s">
        <v>851</v>
      </c>
      <c r="C2000" s="5" t="s">
        <v>2051</v>
      </c>
      <c r="D2000" s="5" t="s">
        <v>12</v>
      </c>
      <c r="E2000" s="5" t="s">
        <v>13</v>
      </c>
      <c r="F2000" s="5" t="s">
        <v>14</v>
      </c>
      <c r="G2000" s="6">
        <v>25200</v>
      </c>
      <c r="H2000" s="1993" t="str">
        <f>HYPERLINK("https://adv-map.ru/place/?LINK=ecc9e02841751f3ad9d9f1618c24dd5d","Ссылка")</f>
        <v>Ссылка</v>
      </c>
      <c r="I2000" s="5" t="s">
        <v>2052</v>
      </c>
    </row>
    <row r="2001" spans="1:9" s="4" customFormat="1" ht="38.1" customHeight="1" outlineLevel="1" x14ac:dyDescent="0.2">
      <c r="A2001" s="5" t="s">
        <v>340</v>
      </c>
      <c r="B2001" s="5" t="s">
        <v>851</v>
      </c>
      <c r="C2001" s="5" t="s">
        <v>2051</v>
      </c>
      <c r="D2001" s="5" t="s">
        <v>12</v>
      </c>
      <c r="E2001" s="5" t="s">
        <v>13</v>
      </c>
      <c r="F2001" s="5" t="s">
        <v>16</v>
      </c>
      <c r="G2001" s="6">
        <v>20160</v>
      </c>
      <c r="H2001" s="1994" t="str">
        <f>HYPERLINK("https://adv-map.ru/place/?LINK=e0289a54e4e343c3c80ce8301402033f","Ссылка")</f>
        <v>Ссылка</v>
      </c>
      <c r="I2001" s="5" t="s">
        <v>2052</v>
      </c>
    </row>
    <row r="2002" spans="1:9" s="4" customFormat="1" ht="38.1" customHeight="1" outlineLevel="1" x14ac:dyDescent="0.2">
      <c r="A2002" s="5" t="s">
        <v>340</v>
      </c>
      <c r="B2002" s="5" t="s">
        <v>851</v>
      </c>
      <c r="C2002" s="5" t="s">
        <v>2053</v>
      </c>
      <c r="D2002" s="5" t="s">
        <v>12</v>
      </c>
      <c r="E2002" s="5" t="s">
        <v>13</v>
      </c>
      <c r="F2002" s="5" t="s">
        <v>14</v>
      </c>
      <c r="G2002" s="6">
        <v>31500</v>
      </c>
      <c r="H2002" s="1995" t="str">
        <f>HYPERLINK("https://adv-map.ru/place/?LINK=8a28ddea0da4873ad8a71be7c8683bbd","Ссылка")</f>
        <v>Ссылка</v>
      </c>
      <c r="I2002" s="5" t="s">
        <v>2054</v>
      </c>
    </row>
    <row r="2003" spans="1:9" s="4" customFormat="1" ht="38.1" customHeight="1" outlineLevel="1" x14ac:dyDescent="0.2">
      <c r="A2003" s="5" t="s">
        <v>340</v>
      </c>
      <c r="B2003" s="5" t="s">
        <v>851</v>
      </c>
      <c r="C2003" s="5" t="s">
        <v>2053</v>
      </c>
      <c r="D2003" s="5" t="s">
        <v>12</v>
      </c>
      <c r="E2003" s="5" t="s">
        <v>13</v>
      </c>
      <c r="F2003" s="5" t="s">
        <v>16</v>
      </c>
      <c r="G2003" s="6">
        <v>25200</v>
      </c>
      <c r="H2003" s="1996" t="str">
        <f>HYPERLINK("https://adv-map.ru/place/?LINK=52a94d26c50f26d3babadba4159dfc8b","Ссылка")</f>
        <v>Ссылка</v>
      </c>
      <c r="I2003" s="5" t="s">
        <v>2054</v>
      </c>
    </row>
    <row r="2004" spans="1:9" s="4" customFormat="1" ht="38.1" customHeight="1" outlineLevel="1" x14ac:dyDescent="0.2">
      <c r="A2004" s="5" t="s">
        <v>340</v>
      </c>
      <c r="B2004" s="5" t="s">
        <v>851</v>
      </c>
      <c r="C2004" s="5" t="s">
        <v>2055</v>
      </c>
      <c r="D2004" s="5" t="s">
        <v>12</v>
      </c>
      <c r="E2004" s="5" t="s">
        <v>13</v>
      </c>
      <c r="F2004" s="5" t="s">
        <v>14</v>
      </c>
      <c r="G2004" s="6">
        <v>31500</v>
      </c>
      <c r="H2004" s="1997" t="str">
        <f>HYPERLINK("https://adv-map.ru/place/?LINK=70fe06dbbec2db77bb6d0d3d52043736","Ссылка")</f>
        <v>Ссылка</v>
      </c>
      <c r="I2004" s="5" t="s">
        <v>2056</v>
      </c>
    </row>
    <row r="2005" spans="1:9" s="4" customFormat="1" ht="38.1" customHeight="1" outlineLevel="1" x14ac:dyDescent="0.2">
      <c r="A2005" s="5" t="s">
        <v>340</v>
      </c>
      <c r="B2005" s="5" t="s">
        <v>851</v>
      </c>
      <c r="C2005" s="5" t="s">
        <v>2055</v>
      </c>
      <c r="D2005" s="5" t="s">
        <v>12</v>
      </c>
      <c r="E2005" s="5" t="s">
        <v>13</v>
      </c>
      <c r="F2005" s="5" t="s">
        <v>16</v>
      </c>
      <c r="G2005" s="6">
        <v>26250</v>
      </c>
      <c r="H2005" s="1998" t="str">
        <f>HYPERLINK("https://adv-map.ru/place/?LINK=830eb1b0bc577066c051de3a32e9ac60","Ссылка")</f>
        <v>Ссылка</v>
      </c>
      <c r="I2005" s="5" t="s">
        <v>2056</v>
      </c>
    </row>
    <row r="2006" spans="1:9" s="4" customFormat="1" ht="38.1" customHeight="1" outlineLevel="1" x14ac:dyDescent="0.2">
      <c r="A2006" s="5" t="s">
        <v>340</v>
      </c>
      <c r="B2006" s="5" t="s">
        <v>851</v>
      </c>
      <c r="C2006" s="5" t="s">
        <v>2057</v>
      </c>
      <c r="D2006" s="5" t="s">
        <v>12</v>
      </c>
      <c r="E2006" s="5" t="s">
        <v>13</v>
      </c>
      <c r="F2006" s="5" t="s">
        <v>14</v>
      </c>
      <c r="G2006" s="6">
        <v>31500</v>
      </c>
      <c r="H2006" s="1999" t="str">
        <f>HYPERLINK("https://adv-map.ru/place/?LINK=015a9f8857c9043bc4523a242cd7c0d8","Ссылка")</f>
        <v>Ссылка</v>
      </c>
      <c r="I2006" s="5" t="s">
        <v>2058</v>
      </c>
    </row>
    <row r="2007" spans="1:9" s="4" customFormat="1" ht="38.1" customHeight="1" outlineLevel="1" x14ac:dyDescent="0.2">
      <c r="A2007" s="5" t="s">
        <v>340</v>
      </c>
      <c r="B2007" s="5" t="s">
        <v>851</v>
      </c>
      <c r="C2007" s="5" t="s">
        <v>2057</v>
      </c>
      <c r="D2007" s="5" t="s">
        <v>12</v>
      </c>
      <c r="E2007" s="5" t="s">
        <v>13</v>
      </c>
      <c r="F2007" s="5" t="s">
        <v>16</v>
      </c>
      <c r="G2007" s="6">
        <v>25200</v>
      </c>
      <c r="H2007" s="2000" t="str">
        <f>HYPERLINK("https://adv-map.ru/place/?LINK=4cabb503bd4b30c53051fdae4b36b992","Ссылка")</f>
        <v>Ссылка</v>
      </c>
      <c r="I2007" s="5" t="s">
        <v>2058</v>
      </c>
    </row>
    <row r="2008" spans="1:9" s="4" customFormat="1" ht="38.1" customHeight="1" outlineLevel="1" x14ac:dyDescent="0.2">
      <c r="A2008" s="5" t="s">
        <v>340</v>
      </c>
      <c r="B2008" s="5" t="s">
        <v>851</v>
      </c>
      <c r="C2008" s="5" t="s">
        <v>2059</v>
      </c>
      <c r="D2008" s="5" t="s">
        <v>12</v>
      </c>
      <c r="E2008" s="5" t="s">
        <v>13</v>
      </c>
      <c r="F2008" s="5" t="s">
        <v>14</v>
      </c>
      <c r="G2008" s="6">
        <v>31500</v>
      </c>
      <c r="H2008" s="2001" t="str">
        <f>HYPERLINK("https://adv-map.ru/place/?LINK=808e0783a993d19024bc7e2c6768934c","Ссылка")</f>
        <v>Ссылка</v>
      </c>
      <c r="I2008" s="5" t="s">
        <v>2060</v>
      </c>
    </row>
    <row r="2009" spans="1:9" s="4" customFormat="1" ht="38.1" customHeight="1" outlineLevel="1" x14ac:dyDescent="0.2">
      <c r="A2009" s="5" t="s">
        <v>340</v>
      </c>
      <c r="B2009" s="5" t="s">
        <v>851</v>
      </c>
      <c r="C2009" s="5" t="s">
        <v>2061</v>
      </c>
      <c r="D2009" s="5" t="s">
        <v>12</v>
      </c>
      <c r="E2009" s="5" t="s">
        <v>13</v>
      </c>
      <c r="F2009" s="5" t="s">
        <v>16</v>
      </c>
      <c r="G2009" s="6">
        <v>25200</v>
      </c>
      <c r="H2009" s="2002" t="str">
        <f>HYPERLINK("https://adv-map.ru/place/?LINK=1ba380a0f6a7c23a79a7ef43022b6d1f","Ссылка")</f>
        <v>Ссылка</v>
      </c>
      <c r="I2009" s="5" t="s">
        <v>2060</v>
      </c>
    </row>
    <row r="2010" spans="1:9" s="4" customFormat="1" ht="38.1" customHeight="1" outlineLevel="1" x14ac:dyDescent="0.2">
      <c r="A2010" s="5" t="s">
        <v>340</v>
      </c>
      <c r="B2010" s="5" t="s">
        <v>851</v>
      </c>
      <c r="C2010" s="5" t="s">
        <v>2062</v>
      </c>
      <c r="D2010" s="5" t="s">
        <v>12</v>
      </c>
      <c r="E2010" s="5" t="s">
        <v>13</v>
      </c>
      <c r="F2010" s="5" t="s">
        <v>14</v>
      </c>
      <c r="G2010" s="6">
        <v>31500</v>
      </c>
      <c r="H2010" s="2003" t="str">
        <f>HYPERLINK("https://adv-map.ru/place/?LINK=c706ce0edf39a7ea3394ed30df206e0c","Ссылка")</f>
        <v>Ссылка</v>
      </c>
      <c r="I2010" s="5" t="s">
        <v>2063</v>
      </c>
    </row>
    <row r="2011" spans="1:9" s="4" customFormat="1" ht="38.1" customHeight="1" outlineLevel="1" x14ac:dyDescent="0.2">
      <c r="A2011" s="5" t="s">
        <v>340</v>
      </c>
      <c r="B2011" s="5" t="s">
        <v>851</v>
      </c>
      <c r="C2011" s="5" t="s">
        <v>2064</v>
      </c>
      <c r="D2011" s="5" t="s">
        <v>12</v>
      </c>
      <c r="E2011" s="5" t="s">
        <v>13</v>
      </c>
      <c r="F2011" s="5" t="s">
        <v>16</v>
      </c>
      <c r="G2011" s="6">
        <v>25200</v>
      </c>
      <c r="H2011" s="2004" t="str">
        <f>HYPERLINK("https://adv-map.ru/place/?LINK=aa37c0b01fb154a7edd3f9dc1cb901fa","Ссылка")</f>
        <v>Ссылка</v>
      </c>
      <c r="I2011" s="5" t="s">
        <v>2063</v>
      </c>
    </row>
    <row r="2012" spans="1:9" s="4" customFormat="1" ht="38.1" customHeight="1" outlineLevel="1" x14ac:dyDescent="0.2">
      <c r="A2012" s="5" t="s">
        <v>340</v>
      </c>
      <c r="B2012" s="5" t="s">
        <v>851</v>
      </c>
      <c r="C2012" s="5" t="s">
        <v>2065</v>
      </c>
      <c r="D2012" s="5" t="s">
        <v>12</v>
      </c>
      <c r="E2012" s="5" t="s">
        <v>13</v>
      </c>
      <c r="F2012" s="5" t="s">
        <v>14</v>
      </c>
      <c r="G2012" s="6">
        <v>31500</v>
      </c>
      <c r="H2012" s="2005" t="str">
        <f>HYPERLINK("https://adv-map.ru/place/?LINK=5a50a2ff2e55d2cbb3d86b2c33331f55","Ссылка")</f>
        <v>Ссылка</v>
      </c>
      <c r="I2012" s="5" t="s">
        <v>2066</v>
      </c>
    </row>
    <row r="2013" spans="1:9" s="4" customFormat="1" ht="38.1" customHeight="1" outlineLevel="1" x14ac:dyDescent="0.2">
      <c r="A2013" s="5" t="s">
        <v>340</v>
      </c>
      <c r="B2013" s="5" t="s">
        <v>851</v>
      </c>
      <c r="C2013" s="5" t="s">
        <v>2067</v>
      </c>
      <c r="D2013" s="5" t="s">
        <v>12</v>
      </c>
      <c r="E2013" s="5" t="s">
        <v>13</v>
      </c>
      <c r="F2013" s="5" t="s">
        <v>16</v>
      </c>
      <c r="G2013" s="6">
        <v>25200</v>
      </c>
      <c r="H2013" s="2006" t="str">
        <f>HYPERLINK("https://adv-map.ru/place/?LINK=39167bcc7a2f82cf07643898a6ca6e96","Ссылка")</f>
        <v>Ссылка</v>
      </c>
      <c r="I2013" s="5" t="s">
        <v>2066</v>
      </c>
    </row>
    <row r="2014" spans="1:9" s="4" customFormat="1" ht="38.1" customHeight="1" outlineLevel="1" x14ac:dyDescent="0.2">
      <c r="A2014" s="5" t="s">
        <v>340</v>
      </c>
      <c r="B2014" s="5" t="s">
        <v>851</v>
      </c>
      <c r="C2014" s="5" t="s">
        <v>2068</v>
      </c>
      <c r="D2014" s="5" t="s">
        <v>12</v>
      </c>
      <c r="E2014" s="5" t="s">
        <v>13</v>
      </c>
      <c r="F2014" s="5" t="s">
        <v>14</v>
      </c>
      <c r="G2014" s="6">
        <v>31500</v>
      </c>
      <c r="H2014" s="2007" t="str">
        <f>HYPERLINK("https://adv-map.ru/place/?LINK=8f6185f2d1c9f73bc9da46d47b51aea4","Ссылка")</f>
        <v>Ссылка</v>
      </c>
      <c r="I2014" s="5" t="s">
        <v>2069</v>
      </c>
    </row>
    <row r="2015" spans="1:9" s="4" customFormat="1" ht="38.1" customHeight="1" outlineLevel="1" x14ac:dyDescent="0.2">
      <c r="A2015" s="5" t="s">
        <v>340</v>
      </c>
      <c r="B2015" s="5" t="s">
        <v>851</v>
      </c>
      <c r="C2015" s="5" t="s">
        <v>2070</v>
      </c>
      <c r="D2015" s="5" t="s">
        <v>12</v>
      </c>
      <c r="E2015" s="5" t="s">
        <v>13</v>
      </c>
      <c r="F2015" s="5" t="s">
        <v>16</v>
      </c>
      <c r="G2015" s="6">
        <v>25200</v>
      </c>
      <c r="H2015" s="2008" t="str">
        <f>HYPERLINK("https://adv-map.ru/place/?LINK=4c724e06d5114dd09e97c22d61e2df68","Ссылка")</f>
        <v>Ссылка</v>
      </c>
      <c r="I2015" s="5" t="s">
        <v>2069</v>
      </c>
    </row>
    <row r="2016" spans="1:9" s="4" customFormat="1" ht="38.1" customHeight="1" outlineLevel="1" x14ac:dyDescent="0.2">
      <c r="A2016" s="5" t="s">
        <v>340</v>
      </c>
      <c r="B2016" s="5" t="s">
        <v>851</v>
      </c>
      <c r="C2016" s="5" t="s">
        <v>2071</v>
      </c>
      <c r="D2016" s="5" t="s">
        <v>12</v>
      </c>
      <c r="E2016" s="5" t="s">
        <v>13</v>
      </c>
      <c r="F2016" s="5" t="s">
        <v>14</v>
      </c>
      <c r="G2016" s="6">
        <v>31500</v>
      </c>
      <c r="H2016" s="2009" t="str">
        <f>HYPERLINK("https://adv-map.ru/place/?LINK=2338da277dac523df156a88e9bfc3c06","Ссылка")</f>
        <v>Ссылка</v>
      </c>
      <c r="I2016" s="5" t="s">
        <v>2072</v>
      </c>
    </row>
    <row r="2017" spans="1:9" s="4" customFormat="1" ht="38.1" customHeight="1" outlineLevel="1" x14ac:dyDescent="0.2">
      <c r="A2017" s="5" t="s">
        <v>340</v>
      </c>
      <c r="B2017" s="5" t="s">
        <v>851</v>
      </c>
      <c r="C2017" s="5" t="s">
        <v>2073</v>
      </c>
      <c r="D2017" s="5" t="s">
        <v>12</v>
      </c>
      <c r="E2017" s="5" t="s">
        <v>13</v>
      </c>
      <c r="F2017" s="5" t="s">
        <v>16</v>
      </c>
      <c r="G2017" s="6">
        <v>25200</v>
      </c>
      <c r="H2017" s="2010" t="str">
        <f>HYPERLINK("https://adv-map.ru/place/?LINK=07cbfae3d7d7d2ca2e4f2bc7d0540bd9","Ссылка")</f>
        <v>Ссылка</v>
      </c>
      <c r="I2017" s="5" t="s">
        <v>2072</v>
      </c>
    </row>
    <row r="2018" spans="1:9" s="4" customFormat="1" ht="38.1" customHeight="1" outlineLevel="1" x14ac:dyDescent="0.2">
      <c r="A2018" s="5" t="s">
        <v>340</v>
      </c>
      <c r="B2018" s="5" t="s">
        <v>851</v>
      </c>
      <c r="C2018" s="5" t="s">
        <v>2074</v>
      </c>
      <c r="D2018" s="5" t="s">
        <v>12</v>
      </c>
      <c r="E2018" s="5" t="s">
        <v>13</v>
      </c>
      <c r="F2018" s="5" t="s">
        <v>16</v>
      </c>
      <c r="G2018" s="6">
        <v>25200</v>
      </c>
      <c r="H2018" s="2011" t="str">
        <f>HYPERLINK("https://adv-map.ru/place/?LINK=3e9f46f1f276167522bc1dea4d156e34","Ссылка")</f>
        <v>Ссылка</v>
      </c>
      <c r="I2018" s="5" t="s">
        <v>2075</v>
      </c>
    </row>
    <row r="2019" spans="1:9" s="4" customFormat="1" ht="51" customHeight="1" outlineLevel="1" x14ac:dyDescent="0.2">
      <c r="A2019" s="5" t="s">
        <v>340</v>
      </c>
      <c r="B2019" s="5" t="s">
        <v>851</v>
      </c>
      <c r="C2019" s="5" t="s">
        <v>2076</v>
      </c>
      <c r="D2019" s="5" t="s">
        <v>12</v>
      </c>
      <c r="E2019" s="5" t="s">
        <v>13</v>
      </c>
      <c r="F2019" s="5" t="s">
        <v>14</v>
      </c>
      <c r="G2019" s="6">
        <v>31500</v>
      </c>
      <c r="H2019" s="2012" t="str">
        <f>HYPERLINK("https://adv-map.ru/place/?LINK=5ed8d193c2927a2e9d717ba4561563a6","Ссылка")</f>
        <v>Ссылка</v>
      </c>
      <c r="I2019" s="5" t="s">
        <v>2077</v>
      </c>
    </row>
    <row r="2020" spans="1:9" s="4" customFormat="1" ht="38.1" customHeight="1" outlineLevel="1" x14ac:dyDescent="0.2">
      <c r="A2020" s="5" t="s">
        <v>340</v>
      </c>
      <c r="B2020" s="5" t="s">
        <v>851</v>
      </c>
      <c r="C2020" s="5" t="s">
        <v>2078</v>
      </c>
      <c r="D2020" s="5" t="s">
        <v>12</v>
      </c>
      <c r="E2020" s="5" t="s">
        <v>13</v>
      </c>
      <c r="F2020" s="5" t="s">
        <v>16</v>
      </c>
      <c r="G2020" s="6">
        <v>25200</v>
      </c>
      <c r="H2020" s="2013" t="str">
        <f>HYPERLINK("https://adv-map.ru/place/?LINK=1129cdae9616d073a42c3c93b855892a","Ссылка")</f>
        <v>Ссылка</v>
      </c>
      <c r="I2020" s="5" t="s">
        <v>2079</v>
      </c>
    </row>
    <row r="2021" spans="1:9" s="4" customFormat="1" ht="38.1" customHeight="1" outlineLevel="1" x14ac:dyDescent="0.2">
      <c r="A2021" s="5" t="s">
        <v>340</v>
      </c>
      <c r="B2021" s="5" t="s">
        <v>851</v>
      </c>
      <c r="C2021" s="5" t="s">
        <v>2080</v>
      </c>
      <c r="D2021" s="5" t="s">
        <v>12</v>
      </c>
      <c r="E2021" s="5" t="s">
        <v>13</v>
      </c>
      <c r="F2021" s="5" t="s">
        <v>14</v>
      </c>
      <c r="G2021" s="6">
        <v>31500</v>
      </c>
      <c r="H2021" s="2014" t="str">
        <f>HYPERLINK("https://adv-map.ru/place/?LINK=e87fb588289b31a0925de58c8a286f7c","Ссылка")</f>
        <v>Ссылка</v>
      </c>
      <c r="I2021" s="5" t="s">
        <v>2079</v>
      </c>
    </row>
    <row r="2022" spans="1:9" s="4" customFormat="1" ht="38.1" customHeight="1" outlineLevel="1" x14ac:dyDescent="0.2">
      <c r="A2022" s="5" t="s">
        <v>340</v>
      </c>
      <c r="B2022" s="5" t="s">
        <v>851</v>
      </c>
      <c r="C2022" s="5" t="s">
        <v>2081</v>
      </c>
      <c r="D2022" s="5" t="s">
        <v>12</v>
      </c>
      <c r="E2022" s="5" t="s">
        <v>13</v>
      </c>
      <c r="F2022" s="5" t="s">
        <v>16</v>
      </c>
      <c r="G2022" s="6">
        <v>25200</v>
      </c>
      <c r="H2022" s="2015" t="str">
        <f>HYPERLINK("https://adv-map.ru/place/?LINK=f0600eb7ef6ab77f56598b5221bbbafb","Ссылка")</f>
        <v>Ссылка</v>
      </c>
      <c r="I2022" s="5" t="s">
        <v>2082</v>
      </c>
    </row>
    <row r="2023" spans="1:9" s="4" customFormat="1" ht="38.1" customHeight="1" outlineLevel="1" x14ac:dyDescent="0.2">
      <c r="A2023" s="5" t="s">
        <v>340</v>
      </c>
      <c r="B2023" s="5" t="s">
        <v>851</v>
      </c>
      <c r="C2023" s="5" t="s">
        <v>2083</v>
      </c>
      <c r="D2023" s="5" t="s">
        <v>12</v>
      </c>
      <c r="E2023" s="5" t="s">
        <v>13</v>
      </c>
      <c r="F2023" s="5" t="s">
        <v>14</v>
      </c>
      <c r="G2023" s="6">
        <v>31500</v>
      </c>
      <c r="H2023" s="2016" t="str">
        <f>HYPERLINK("https://adv-map.ru/place/?LINK=553337298473bf3b37c3c083fa27ccd3","Ссылка")</f>
        <v>Ссылка</v>
      </c>
      <c r="I2023" s="5" t="s">
        <v>2082</v>
      </c>
    </row>
    <row r="2024" spans="1:9" s="4" customFormat="1" ht="38.1" customHeight="1" outlineLevel="1" x14ac:dyDescent="0.2">
      <c r="A2024" s="5" t="s">
        <v>340</v>
      </c>
      <c r="B2024" s="5" t="s">
        <v>851</v>
      </c>
      <c r="C2024" s="5" t="s">
        <v>2084</v>
      </c>
      <c r="D2024" s="5" t="s">
        <v>12</v>
      </c>
      <c r="E2024" s="5" t="s">
        <v>13</v>
      </c>
      <c r="F2024" s="5" t="s">
        <v>14</v>
      </c>
      <c r="G2024" s="6">
        <v>31500</v>
      </c>
      <c r="H2024" s="2017" t="str">
        <f>HYPERLINK("https://adv-map.ru/place/?LINK=4c4e7adffb123ebb3a063b8b97bba8a2","Ссылка")</f>
        <v>Ссылка</v>
      </c>
      <c r="I2024" s="5" t="s">
        <v>2085</v>
      </c>
    </row>
    <row r="2025" spans="1:9" s="4" customFormat="1" ht="38.1" customHeight="1" outlineLevel="1" x14ac:dyDescent="0.2">
      <c r="A2025" s="5" t="s">
        <v>340</v>
      </c>
      <c r="B2025" s="5" t="s">
        <v>851</v>
      </c>
      <c r="C2025" s="5" t="s">
        <v>2086</v>
      </c>
      <c r="D2025" s="5" t="s">
        <v>12</v>
      </c>
      <c r="E2025" s="5" t="s">
        <v>13</v>
      </c>
      <c r="F2025" s="5" t="s">
        <v>16</v>
      </c>
      <c r="G2025" s="6">
        <v>22680</v>
      </c>
      <c r="H2025" s="2018" t="str">
        <f>HYPERLINK("https://adv-map.ru/place/?LINK=2ee5172098126a63abee5eabe63efd4f","Ссылка")</f>
        <v>Ссылка</v>
      </c>
      <c r="I2025" s="5" t="s">
        <v>2085</v>
      </c>
    </row>
    <row r="2026" spans="1:9" s="4" customFormat="1" ht="38.1" customHeight="1" outlineLevel="1" x14ac:dyDescent="0.2">
      <c r="A2026" s="5" t="s">
        <v>340</v>
      </c>
      <c r="B2026" s="5" t="s">
        <v>341</v>
      </c>
      <c r="C2026" s="5" t="s">
        <v>2087</v>
      </c>
      <c r="D2026" s="5" t="s">
        <v>347</v>
      </c>
      <c r="E2026" s="5" t="s">
        <v>348</v>
      </c>
      <c r="F2026" s="5" t="s">
        <v>14</v>
      </c>
      <c r="G2026" s="6">
        <v>22680</v>
      </c>
      <c r="H2026" s="2019" t="str">
        <f>HYPERLINK("https://adv-map.ru/place/?LINK=7c4ddcfdc5a038723d08ff4235d12455","Ссылка")</f>
        <v>Ссылка</v>
      </c>
      <c r="I2026" s="5" t="s">
        <v>2088</v>
      </c>
    </row>
    <row r="2027" spans="1:9" s="4" customFormat="1" ht="38.1" customHeight="1" outlineLevel="1" x14ac:dyDescent="0.2">
      <c r="A2027" s="5" t="s">
        <v>340</v>
      </c>
      <c r="B2027" s="5" t="s">
        <v>341</v>
      </c>
      <c r="C2027" s="5" t="s">
        <v>2087</v>
      </c>
      <c r="D2027" s="5" t="s">
        <v>347</v>
      </c>
      <c r="E2027" s="5" t="s">
        <v>348</v>
      </c>
      <c r="F2027" s="5" t="s">
        <v>16</v>
      </c>
      <c r="G2027" s="6">
        <v>17640</v>
      </c>
      <c r="H2027" s="2020" t="str">
        <f>HYPERLINK("https://adv-map.ru/place/?LINK=af09b65d76c1e95b85a68c029d2ae919","Ссылка")</f>
        <v>Ссылка</v>
      </c>
      <c r="I2027" s="5" t="s">
        <v>2089</v>
      </c>
    </row>
    <row r="2028" spans="1:9" s="4" customFormat="1" ht="38.1" customHeight="1" outlineLevel="1" x14ac:dyDescent="0.2">
      <c r="A2028" s="5" t="s">
        <v>340</v>
      </c>
      <c r="B2028" s="5" t="s">
        <v>341</v>
      </c>
      <c r="C2028" s="5" t="s">
        <v>2090</v>
      </c>
      <c r="D2028" s="5" t="s">
        <v>347</v>
      </c>
      <c r="E2028" s="5" t="s">
        <v>348</v>
      </c>
      <c r="F2028" s="5" t="s">
        <v>14</v>
      </c>
      <c r="G2028" s="6">
        <v>22680</v>
      </c>
      <c r="H2028" s="2021" t="str">
        <f>HYPERLINK("https://adv-map.ru/place/?LINK=4a8d5e08bdd3d1a7964368890d5fa95d","Ссылка")</f>
        <v>Ссылка</v>
      </c>
      <c r="I2028" s="5" t="s">
        <v>2091</v>
      </c>
    </row>
    <row r="2029" spans="1:9" s="4" customFormat="1" ht="38.1" customHeight="1" outlineLevel="1" x14ac:dyDescent="0.2">
      <c r="A2029" s="5" t="s">
        <v>340</v>
      </c>
      <c r="B2029" s="5" t="s">
        <v>341</v>
      </c>
      <c r="C2029" s="5" t="s">
        <v>2090</v>
      </c>
      <c r="D2029" s="5" t="s">
        <v>347</v>
      </c>
      <c r="E2029" s="5" t="s">
        <v>348</v>
      </c>
      <c r="F2029" s="5" t="s">
        <v>16</v>
      </c>
      <c r="G2029" s="6">
        <v>17640</v>
      </c>
      <c r="H2029" s="2022" t="str">
        <f>HYPERLINK("https://adv-map.ru/place/?LINK=c55110bc85d79afc76755fe142592e37","Ссылка")</f>
        <v>Ссылка</v>
      </c>
      <c r="I2029" s="5" t="s">
        <v>2092</v>
      </c>
    </row>
    <row r="2030" spans="1:9" s="4" customFormat="1" ht="38.1" customHeight="1" outlineLevel="1" x14ac:dyDescent="0.2">
      <c r="A2030" s="5" t="s">
        <v>340</v>
      </c>
      <c r="B2030" s="5" t="s">
        <v>345</v>
      </c>
      <c r="C2030" s="5" t="s">
        <v>2093</v>
      </c>
      <c r="D2030" s="5" t="s">
        <v>12</v>
      </c>
      <c r="E2030" s="5" t="s">
        <v>13</v>
      </c>
      <c r="F2030" s="5" t="s">
        <v>14</v>
      </c>
      <c r="G2030" s="6">
        <v>31500</v>
      </c>
      <c r="H2030" s="2023" t="str">
        <f>HYPERLINK("https://adv-map.ru/place/?LINK=30e820e4f906df01501e0a78820deb27","Ссылка")</f>
        <v>Ссылка</v>
      </c>
      <c r="I2030" s="5" t="s">
        <v>2094</v>
      </c>
    </row>
    <row r="2031" spans="1:9" s="4" customFormat="1" ht="38.1" customHeight="1" outlineLevel="1" x14ac:dyDescent="0.2">
      <c r="A2031" s="5" t="s">
        <v>340</v>
      </c>
      <c r="B2031" s="5" t="s">
        <v>345</v>
      </c>
      <c r="C2031" s="5" t="s">
        <v>2093</v>
      </c>
      <c r="D2031" s="5" t="s">
        <v>12</v>
      </c>
      <c r="E2031" s="5" t="s">
        <v>13</v>
      </c>
      <c r="F2031" s="5" t="s">
        <v>16</v>
      </c>
      <c r="G2031" s="6">
        <v>25200</v>
      </c>
      <c r="H2031" s="2024" t="str">
        <f>HYPERLINK("https://adv-map.ru/place/?LINK=b1ba3bb93b52261fce5ce93f5d458836","Ссылка")</f>
        <v>Ссылка</v>
      </c>
      <c r="I2031" s="5" t="s">
        <v>2094</v>
      </c>
    </row>
    <row r="2032" spans="1:9" s="4" customFormat="1" ht="38.1" customHeight="1" outlineLevel="1" x14ac:dyDescent="0.2">
      <c r="A2032" s="5" t="s">
        <v>340</v>
      </c>
      <c r="B2032" s="5" t="s">
        <v>134</v>
      </c>
      <c r="C2032" s="5" t="s">
        <v>2095</v>
      </c>
      <c r="D2032" s="5" t="s">
        <v>12</v>
      </c>
      <c r="E2032" s="5" t="s">
        <v>13</v>
      </c>
      <c r="F2032" s="5" t="s">
        <v>14</v>
      </c>
      <c r="G2032" s="6">
        <v>42000</v>
      </c>
      <c r="H2032" s="2025" t="str">
        <f>HYPERLINK("https://adv-map.ru/place/?LINK=3e601fc88a8bd01daec93fe42c75ba8a","Ссылка")</f>
        <v>Ссылка</v>
      </c>
      <c r="I2032" s="5" t="s">
        <v>2096</v>
      </c>
    </row>
    <row r="2033" spans="1:9" s="4" customFormat="1" ht="38.1" customHeight="1" outlineLevel="1" x14ac:dyDescent="0.2">
      <c r="A2033" s="5" t="s">
        <v>340</v>
      </c>
      <c r="B2033" s="5" t="s">
        <v>134</v>
      </c>
      <c r="C2033" s="5" t="s">
        <v>2095</v>
      </c>
      <c r="D2033" s="5" t="s">
        <v>12</v>
      </c>
      <c r="E2033" s="5" t="s">
        <v>13</v>
      </c>
      <c r="F2033" s="5" t="s">
        <v>16</v>
      </c>
      <c r="G2033" s="6">
        <v>31500</v>
      </c>
      <c r="H2033" s="2026" t="str">
        <f>HYPERLINK("https://adv-map.ru/place/?LINK=6f8daa915021506aa67765b0ce9ca8a0","Ссылка")</f>
        <v>Ссылка</v>
      </c>
      <c r="I2033" s="5" t="s">
        <v>2096</v>
      </c>
    </row>
    <row r="2034" spans="1:9" s="4" customFormat="1" ht="38.1" customHeight="1" outlineLevel="1" x14ac:dyDescent="0.2">
      <c r="A2034" s="5" t="s">
        <v>340</v>
      </c>
      <c r="B2034" s="5" t="s">
        <v>134</v>
      </c>
      <c r="C2034" s="5" t="s">
        <v>2097</v>
      </c>
      <c r="D2034" s="5" t="s">
        <v>347</v>
      </c>
      <c r="E2034" s="5" t="s">
        <v>348</v>
      </c>
      <c r="F2034" s="5" t="s">
        <v>14</v>
      </c>
      <c r="G2034" s="6">
        <v>25200</v>
      </c>
      <c r="H2034" s="2027" t="str">
        <f>HYPERLINK("https://adv-map.ru/place/?LINK=e46ad58c58c99265b2f49a25c091a78e","Ссылка")</f>
        <v>Ссылка</v>
      </c>
      <c r="I2034" s="5" t="s">
        <v>2098</v>
      </c>
    </row>
    <row r="2035" spans="1:9" s="4" customFormat="1" ht="38.1" customHeight="1" outlineLevel="1" x14ac:dyDescent="0.2">
      <c r="A2035" s="5" t="s">
        <v>340</v>
      </c>
      <c r="B2035" s="5" t="s">
        <v>134</v>
      </c>
      <c r="C2035" s="5" t="s">
        <v>2097</v>
      </c>
      <c r="D2035" s="5" t="s">
        <v>347</v>
      </c>
      <c r="E2035" s="5" t="s">
        <v>348</v>
      </c>
      <c r="F2035" s="5" t="s">
        <v>16</v>
      </c>
      <c r="G2035" s="6">
        <v>22680</v>
      </c>
      <c r="H2035" s="2028" t="str">
        <f>HYPERLINK("https://adv-map.ru/place/?LINK=caeeabbd81b32fa47f1523e0dd14a6f4","Ссылка")</f>
        <v>Ссылка</v>
      </c>
      <c r="I2035" s="5" t="s">
        <v>2098</v>
      </c>
    </row>
    <row r="2036" spans="1:9" s="4" customFormat="1" ht="38.1" customHeight="1" outlineLevel="1" x14ac:dyDescent="0.2">
      <c r="A2036" s="5" t="s">
        <v>340</v>
      </c>
      <c r="B2036" s="5" t="s">
        <v>345</v>
      </c>
      <c r="C2036" s="5" t="s">
        <v>2099</v>
      </c>
      <c r="D2036" s="5" t="s">
        <v>347</v>
      </c>
      <c r="E2036" s="5" t="s">
        <v>348</v>
      </c>
      <c r="F2036" s="5" t="s">
        <v>14</v>
      </c>
      <c r="G2036" s="6">
        <v>25200</v>
      </c>
      <c r="H2036" s="2029" t="str">
        <f>HYPERLINK("https://adv-map.ru/place/?LINK=4840f372cb9eea351ff64259ac10089c","Ссылка")</f>
        <v>Ссылка</v>
      </c>
      <c r="I2036" s="5" t="s">
        <v>2100</v>
      </c>
    </row>
    <row r="2037" spans="1:9" s="4" customFormat="1" ht="38.1" customHeight="1" outlineLevel="1" x14ac:dyDescent="0.2">
      <c r="A2037" s="5" t="s">
        <v>340</v>
      </c>
      <c r="B2037" s="5" t="s">
        <v>345</v>
      </c>
      <c r="C2037" s="5" t="s">
        <v>2099</v>
      </c>
      <c r="D2037" s="5" t="s">
        <v>347</v>
      </c>
      <c r="E2037" s="5" t="s">
        <v>348</v>
      </c>
      <c r="F2037" s="5" t="s">
        <v>16</v>
      </c>
      <c r="G2037" s="6">
        <v>20160</v>
      </c>
      <c r="H2037" s="2030" t="str">
        <f>HYPERLINK("https://adv-map.ru/place/?LINK=68019b66ad3c0f938e6595cb40f44eaf","Ссылка")</f>
        <v>Ссылка</v>
      </c>
      <c r="I2037" s="5" t="s">
        <v>2100</v>
      </c>
    </row>
    <row r="2038" spans="1:9" s="4" customFormat="1" ht="38.1" customHeight="1" outlineLevel="1" x14ac:dyDescent="0.2">
      <c r="A2038" s="5" t="s">
        <v>340</v>
      </c>
      <c r="B2038" s="5" t="s">
        <v>345</v>
      </c>
      <c r="C2038" s="5" t="s">
        <v>2101</v>
      </c>
      <c r="D2038" s="5" t="s">
        <v>347</v>
      </c>
      <c r="E2038" s="5" t="s">
        <v>348</v>
      </c>
      <c r="F2038" s="5" t="s">
        <v>14</v>
      </c>
      <c r="G2038" s="6">
        <v>25200</v>
      </c>
      <c r="H2038" s="2031" t="str">
        <f>HYPERLINK("https://adv-map.ru/place/?LINK=f77da5fdf9fcb65fae8ae7739cb1e6c0","Ссылка")</f>
        <v>Ссылка</v>
      </c>
      <c r="I2038" s="5" t="s">
        <v>2102</v>
      </c>
    </row>
    <row r="2039" spans="1:9" s="4" customFormat="1" ht="38.1" customHeight="1" outlineLevel="1" x14ac:dyDescent="0.2">
      <c r="A2039" s="5" t="s">
        <v>340</v>
      </c>
      <c r="B2039" s="5" t="s">
        <v>345</v>
      </c>
      <c r="C2039" s="5" t="s">
        <v>2101</v>
      </c>
      <c r="D2039" s="5" t="s">
        <v>347</v>
      </c>
      <c r="E2039" s="5" t="s">
        <v>348</v>
      </c>
      <c r="F2039" s="5" t="s">
        <v>16</v>
      </c>
      <c r="G2039" s="6">
        <v>20160</v>
      </c>
      <c r="H2039" s="2032" t="str">
        <f>HYPERLINK("https://adv-map.ru/place/?LINK=24e8dd6e4f2cc5f1599d381e152b9e2d","Ссылка")</f>
        <v>Ссылка</v>
      </c>
      <c r="I2039" s="5" t="s">
        <v>2102</v>
      </c>
    </row>
    <row r="2040" spans="1:9" s="4" customFormat="1" ht="38.1" customHeight="1" outlineLevel="1" x14ac:dyDescent="0.2">
      <c r="A2040" s="5" t="s">
        <v>340</v>
      </c>
      <c r="B2040" s="5" t="s">
        <v>354</v>
      </c>
      <c r="C2040" s="5" t="s">
        <v>2103</v>
      </c>
      <c r="D2040" s="5" t="s">
        <v>347</v>
      </c>
      <c r="E2040" s="5" t="s">
        <v>348</v>
      </c>
      <c r="F2040" s="5" t="s">
        <v>14</v>
      </c>
      <c r="G2040" s="6">
        <v>25200</v>
      </c>
      <c r="H2040" s="2033" t="str">
        <f>HYPERLINK("https://adv-map.ru/place/?LINK=11d30fd8a655263c163fb61de840c799","Ссылка")</f>
        <v>Ссылка</v>
      </c>
      <c r="I2040" s="5" t="s">
        <v>2104</v>
      </c>
    </row>
    <row r="2041" spans="1:9" s="4" customFormat="1" ht="38.1" customHeight="1" outlineLevel="1" x14ac:dyDescent="0.2">
      <c r="A2041" s="5" t="s">
        <v>340</v>
      </c>
      <c r="B2041" s="5" t="s">
        <v>354</v>
      </c>
      <c r="C2041" s="5" t="s">
        <v>2103</v>
      </c>
      <c r="D2041" s="5" t="s">
        <v>347</v>
      </c>
      <c r="E2041" s="5" t="s">
        <v>348</v>
      </c>
      <c r="F2041" s="5" t="s">
        <v>16</v>
      </c>
      <c r="G2041" s="6">
        <v>17640</v>
      </c>
      <c r="H2041" s="2034" t="str">
        <f>HYPERLINK("https://adv-map.ru/place/?LINK=cae526ef25921ba41f2585f4696ae73b","Ссылка")</f>
        <v>Ссылка</v>
      </c>
      <c r="I2041" s="5" t="s">
        <v>2104</v>
      </c>
    </row>
    <row r="2042" spans="1:9" s="4" customFormat="1" ht="38.1" customHeight="1" outlineLevel="1" x14ac:dyDescent="0.2">
      <c r="A2042" s="5" t="s">
        <v>340</v>
      </c>
      <c r="B2042" s="5" t="s">
        <v>354</v>
      </c>
      <c r="C2042" s="5" t="s">
        <v>2105</v>
      </c>
      <c r="D2042" s="5" t="s">
        <v>347</v>
      </c>
      <c r="E2042" s="5" t="s">
        <v>348</v>
      </c>
      <c r="F2042" s="5" t="s">
        <v>14</v>
      </c>
      <c r="G2042" s="6">
        <v>25200</v>
      </c>
      <c r="H2042" s="2035" t="str">
        <f>HYPERLINK("https://adv-map.ru/place/?LINK=e4d79371ab19818708467ef56f75de72","Ссылка")</f>
        <v>Ссылка</v>
      </c>
      <c r="I2042" s="5" t="s">
        <v>2106</v>
      </c>
    </row>
    <row r="2043" spans="1:9" s="4" customFormat="1" ht="38.1" customHeight="1" outlineLevel="1" x14ac:dyDescent="0.2">
      <c r="A2043" s="5" t="s">
        <v>340</v>
      </c>
      <c r="B2043" s="5" t="s">
        <v>354</v>
      </c>
      <c r="C2043" s="5" t="s">
        <v>2105</v>
      </c>
      <c r="D2043" s="5" t="s">
        <v>347</v>
      </c>
      <c r="E2043" s="5" t="s">
        <v>348</v>
      </c>
      <c r="F2043" s="5" t="s">
        <v>16</v>
      </c>
      <c r="G2043" s="6">
        <v>17640</v>
      </c>
      <c r="H2043" s="2036" t="str">
        <f>HYPERLINK("https://adv-map.ru/place/?LINK=ca55ac654e99abf9a377a994aeae133a","Ссылка")</f>
        <v>Ссылка</v>
      </c>
      <c r="I2043" s="5" t="s">
        <v>2107</v>
      </c>
    </row>
    <row r="2044" spans="1:9" s="4" customFormat="1" ht="38.1" customHeight="1" outlineLevel="1" x14ac:dyDescent="0.2">
      <c r="A2044" s="5" t="s">
        <v>340</v>
      </c>
      <c r="B2044" s="5" t="s">
        <v>354</v>
      </c>
      <c r="C2044" s="5" t="s">
        <v>2108</v>
      </c>
      <c r="D2044" s="5" t="s">
        <v>49</v>
      </c>
      <c r="E2044" s="5" t="s">
        <v>13</v>
      </c>
      <c r="F2044" s="5" t="s">
        <v>28</v>
      </c>
      <c r="G2044" s="6">
        <v>50400</v>
      </c>
      <c r="H2044" s="2037" t="str">
        <f>HYPERLINK("https://adv-map.ru/place/?LINK=2814abd86d748dd3b529fed6585e8701","Ссылка")</f>
        <v>Ссылка</v>
      </c>
      <c r="I2044" s="5" t="s">
        <v>2109</v>
      </c>
    </row>
    <row r="2045" spans="1:9" s="4" customFormat="1" ht="38.1" customHeight="1" outlineLevel="1" x14ac:dyDescent="0.2">
      <c r="A2045" s="5" t="s">
        <v>340</v>
      </c>
      <c r="B2045" s="5" t="s">
        <v>354</v>
      </c>
      <c r="C2045" s="5" t="s">
        <v>2108</v>
      </c>
      <c r="D2045" s="5" t="s">
        <v>49</v>
      </c>
      <c r="E2045" s="5" t="s">
        <v>13</v>
      </c>
      <c r="F2045" s="5" t="s">
        <v>30</v>
      </c>
      <c r="G2045" s="6">
        <v>50400</v>
      </c>
      <c r="H2045" s="2038" t="str">
        <f>HYPERLINK("https://adv-map.ru/place/?LINK=bf20a46b49125845ff52a79f473bafe1","Ссылка")</f>
        <v>Ссылка</v>
      </c>
      <c r="I2045" s="5" t="s">
        <v>2109</v>
      </c>
    </row>
    <row r="2046" spans="1:9" s="4" customFormat="1" ht="38.1" customHeight="1" outlineLevel="1" x14ac:dyDescent="0.2">
      <c r="A2046" s="5" t="s">
        <v>340</v>
      </c>
      <c r="B2046" s="5" t="s">
        <v>354</v>
      </c>
      <c r="C2046" s="5" t="s">
        <v>2108</v>
      </c>
      <c r="D2046" s="5" t="s">
        <v>49</v>
      </c>
      <c r="E2046" s="5" t="s">
        <v>13</v>
      </c>
      <c r="F2046" s="5" t="s">
        <v>31</v>
      </c>
      <c r="G2046" s="6">
        <v>50400</v>
      </c>
      <c r="H2046" s="2039" t="str">
        <f>HYPERLINK("https://adv-map.ru/place/?LINK=7c113bd4f5236827a85c032704681436","Ссылка")</f>
        <v>Ссылка</v>
      </c>
      <c r="I2046" s="5" t="s">
        <v>2109</v>
      </c>
    </row>
    <row r="2047" spans="1:9" s="4" customFormat="1" ht="38.1" customHeight="1" outlineLevel="1" x14ac:dyDescent="0.2">
      <c r="A2047" s="5" t="s">
        <v>340</v>
      </c>
      <c r="B2047" s="5" t="s">
        <v>354</v>
      </c>
      <c r="C2047" s="5" t="s">
        <v>2108</v>
      </c>
      <c r="D2047" s="5" t="s">
        <v>12</v>
      </c>
      <c r="E2047" s="5" t="s">
        <v>13</v>
      </c>
      <c r="F2047" s="5" t="s">
        <v>16</v>
      </c>
      <c r="G2047" s="6">
        <v>37800</v>
      </c>
      <c r="H2047" s="2040" t="str">
        <f>HYPERLINK("https://adv-map.ru/place/?LINK=f4f87c9350b9c82b4b16fe33e23e31c8","Ссылка")</f>
        <v>Ссылка</v>
      </c>
      <c r="I2047" s="5" t="s">
        <v>2109</v>
      </c>
    </row>
    <row r="2048" spans="1:9" s="4" customFormat="1" ht="38.1" customHeight="1" outlineLevel="1" x14ac:dyDescent="0.2">
      <c r="A2048" s="5" t="s">
        <v>340</v>
      </c>
      <c r="B2048" s="5" t="s">
        <v>354</v>
      </c>
      <c r="C2048" s="5" t="s">
        <v>2110</v>
      </c>
      <c r="D2048" s="5" t="s">
        <v>347</v>
      </c>
      <c r="E2048" s="5" t="s">
        <v>348</v>
      </c>
      <c r="F2048" s="5" t="s">
        <v>14</v>
      </c>
      <c r="G2048" s="6">
        <v>25200</v>
      </c>
      <c r="H2048" s="2041" t="str">
        <f>HYPERLINK("https://adv-map.ru/place/?LINK=1b9d73ec0378279a537b8a4d7d03c53a","Ссылка")</f>
        <v>Ссылка</v>
      </c>
      <c r="I2048" s="5" t="s">
        <v>2111</v>
      </c>
    </row>
    <row r="2049" spans="1:9" s="4" customFormat="1" ht="38.1" customHeight="1" outlineLevel="1" x14ac:dyDescent="0.2">
      <c r="A2049" s="5" t="s">
        <v>340</v>
      </c>
      <c r="B2049" s="5" t="s">
        <v>354</v>
      </c>
      <c r="C2049" s="5" t="s">
        <v>2110</v>
      </c>
      <c r="D2049" s="5" t="s">
        <v>347</v>
      </c>
      <c r="E2049" s="5" t="s">
        <v>348</v>
      </c>
      <c r="F2049" s="5" t="s">
        <v>16</v>
      </c>
      <c r="G2049" s="6">
        <v>17640</v>
      </c>
      <c r="H2049" s="2042" t="str">
        <f>HYPERLINK("https://adv-map.ru/place/?LINK=b17618404732c281459b444dd242ad51","Ссылка")</f>
        <v>Ссылка</v>
      </c>
      <c r="I2049" s="5" t="s">
        <v>2111</v>
      </c>
    </row>
    <row r="2050" spans="1:9" s="4" customFormat="1" ht="38.1" customHeight="1" outlineLevel="1" x14ac:dyDescent="0.2">
      <c r="A2050" s="5" t="s">
        <v>340</v>
      </c>
      <c r="B2050" s="5" t="s">
        <v>134</v>
      </c>
      <c r="C2050" s="5" t="s">
        <v>2112</v>
      </c>
      <c r="D2050" s="5" t="s">
        <v>49</v>
      </c>
      <c r="E2050" s="5" t="s">
        <v>13</v>
      </c>
      <c r="F2050" s="5" t="s">
        <v>28</v>
      </c>
      <c r="G2050" s="6">
        <v>52500</v>
      </c>
      <c r="H2050" s="2043" t="str">
        <f>HYPERLINK("https://adv-map.ru/place/?LINK=f5d946122717a6b4d4d0e7a56fcfccfa","Ссылка")</f>
        <v>Ссылка</v>
      </c>
      <c r="I2050" s="5" t="s">
        <v>2113</v>
      </c>
    </row>
    <row r="2051" spans="1:9" s="4" customFormat="1" ht="38.1" customHeight="1" outlineLevel="1" x14ac:dyDescent="0.2">
      <c r="A2051" s="5" t="s">
        <v>340</v>
      </c>
      <c r="B2051" s="5" t="s">
        <v>134</v>
      </c>
      <c r="C2051" s="5" t="s">
        <v>2112</v>
      </c>
      <c r="D2051" s="5" t="s">
        <v>49</v>
      </c>
      <c r="E2051" s="5" t="s">
        <v>13</v>
      </c>
      <c r="F2051" s="5" t="s">
        <v>30</v>
      </c>
      <c r="G2051" s="6">
        <v>52500</v>
      </c>
      <c r="H2051" s="2044" t="str">
        <f>HYPERLINK("https://adv-map.ru/place/?LINK=e32b3917066083f28260d5683c65660d","Ссылка")</f>
        <v>Ссылка</v>
      </c>
      <c r="I2051" s="5" t="s">
        <v>2113</v>
      </c>
    </row>
    <row r="2052" spans="1:9" s="4" customFormat="1" ht="38.1" customHeight="1" outlineLevel="1" x14ac:dyDescent="0.2">
      <c r="A2052" s="5" t="s">
        <v>340</v>
      </c>
      <c r="B2052" s="5" t="s">
        <v>134</v>
      </c>
      <c r="C2052" s="5" t="s">
        <v>2112</v>
      </c>
      <c r="D2052" s="5" t="s">
        <v>49</v>
      </c>
      <c r="E2052" s="5" t="s">
        <v>13</v>
      </c>
      <c r="F2052" s="5" t="s">
        <v>31</v>
      </c>
      <c r="G2052" s="6">
        <v>52500</v>
      </c>
      <c r="H2052" s="2045" t="str">
        <f>HYPERLINK("https://adv-map.ru/place/?LINK=2b8433867c7b98664e336f5f7e30105b","Ссылка")</f>
        <v>Ссылка</v>
      </c>
      <c r="I2052" s="5" t="s">
        <v>2113</v>
      </c>
    </row>
    <row r="2053" spans="1:9" s="4" customFormat="1" ht="38.1" customHeight="1" outlineLevel="1" x14ac:dyDescent="0.2">
      <c r="A2053" s="5" t="s">
        <v>340</v>
      </c>
      <c r="B2053" s="5" t="s">
        <v>134</v>
      </c>
      <c r="C2053" s="5" t="s">
        <v>2112</v>
      </c>
      <c r="D2053" s="5" t="s">
        <v>49</v>
      </c>
      <c r="E2053" s="5" t="s">
        <v>13</v>
      </c>
      <c r="F2053" s="5" t="s">
        <v>33</v>
      </c>
      <c r="G2053" s="6">
        <v>46200</v>
      </c>
      <c r="H2053" s="2046" t="str">
        <f>HYPERLINK("https://adv-map.ru/place/?LINK=7fb47b1df69c25f57c3eddfda35d46c4","Ссылка")</f>
        <v>Ссылка</v>
      </c>
      <c r="I2053" s="5" t="s">
        <v>2114</v>
      </c>
    </row>
    <row r="2054" spans="1:9" s="4" customFormat="1" ht="38.1" customHeight="1" outlineLevel="1" x14ac:dyDescent="0.2">
      <c r="A2054" s="5" t="s">
        <v>340</v>
      </c>
      <c r="B2054" s="5" t="s">
        <v>134</v>
      </c>
      <c r="C2054" s="5" t="s">
        <v>2112</v>
      </c>
      <c r="D2054" s="5" t="s">
        <v>49</v>
      </c>
      <c r="E2054" s="5" t="s">
        <v>13</v>
      </c>
      <c r="F2054" s="5" t="s">
        <v>34</v>
      </c>
      <c r="G2054" s="6">
        <v>46200</v>
      </c>
      <c r="H2054" s="2047" t="str">
        <f>HYPERLINK("https://adv-map.ru/place/?LINK=5b6bc23f25fc23ff2bec14f95bf0cd9d","Ссылка")</f>
        <v>Ссылка</v>
      </c>
      <c r="I2054" s="5" t="s">
        <v>2115</v>
      </c>
    </row>
    <row r="2055" spans="1:9" s="4" customFormat="1" ht="38.1" customHeight="1" outlineLevel="1" x14ac:dyDescent="0.2">
      <c r="A2055" s="5" t="s">
        <v>340</v>
      </c>
      <c r="B2055" s="5" t="s">
        <v>134</v>
      </c>
      <c r="C2055" s="5" t="s">
        <v>2112</v>
      </c>
      <c r="D2055" s="5" t="s">
        <v>49</v>
      </c>
      <c r="E2055" s="5" t="s">
        <v>13</v>
      </c>
      <c r="F2055" s="5" t="s">
        <v>35</v>
      </c>
      <c r="G2055" s="6">
        <v>46200</v>
      </c>
      <c r="H2055" s="2048" t="str">
        <f>HYPERLINK("https://adv-map.ru/place/?LINK=662e94d7b54981f4a806a94f1e5f4f84","Ссылка")</f>
        <v>Ссылка</v>
      </c>
      <c r="I2055" s="5" t="s">
        <v>2116</v>
      </c>
    </row>
    <row r="2056" spans="1:9" s="4" customFormat="1" ht="38.1" customHeight="1" outlineLevel="1" x14ac:dyDescent="0.2">
      <c r="A2056" s="5" t="s">
        <v>340</v>
      </c>
      <c r="B2056" s="5" t="s">
        <v>354</v>
      </c>
      <c r="C2056" s="5" t="s">
        <v>2117</v>
      </c>
      <c r="D2056" s="5" t="s">
        <v>347</v>
      </c>
      <c r="E2056" s="5" t="s">
        <v>348</v>
      </c>
      <c r="F2056" s="5" t="s">
        <v>14</v>
      </c>
      <c r="G2056" s="6">
        <v>25200</v>
      </c>
      <c r="H2056" s="2049" t="str">
        <f>HYPERLINK("https://adv-map.ru/place/?LINK=c3be15a43b239982c0e77bcc5b3f75fd","Ссылка")</f>
        <v>Ссылка</v>
      </c>
      <c r="I2056" s="5" t="s">
        <v>2118</v>
      </c>
    </row>
    <row r="2057" spans="1:9" s="4" customFormat="1" ht="38.1" customHeight="1" outlineLevel="1" x14ac:dyDescent="0.2">
      <c r="A2057" s="5" t="s">
        <v>340</v>
      </c>
      <c r="B2057" s="5" t="s">
        <v>354</v>
      </c>
      <c r="C2057" s="5" t="s">
        <v>2117</v>
      </c>
      <c r="D2057" s="5" t="s">
        <v>347</v>
      </c>
      <c r="E2057" s="5" t="s">
        <v>348</v>
      </c>
      <c r="F2057" s="5" t="s">
        <v>16</v>
      </c>
      <c r="G2057" s="6">
        <v>17640</v>
      </c>
      <c r="H2057" s="2050" t="str">
        <f>HYPERLINK("https://adv-map.ru/place/?LINK=025b6a484258f2b060bace8a7a3bd644","Ссылка")</f>
        <v>Ссылка</v>
      </c>
      <c r="I2057" s="5" t="s">
        <v>2118</v>
      </c>
    </row>
    <row r="2058" spans="1:9" s="4" customFormat="1" ht="38.1" customHeight="1" outlineLevel="1" x14ac:dyDescent="0.2">
      <c r="A2058" s="5" t="s">
        <v>340</v>
      </c>
      <c r="B2058" s="5" t="s">
        <v>354</v>
      </c>
      <c r="C2058" s="5" t="s">
        <v>2119</v>
      </c>
      <c r="D2058" s="5" t="s">
        <v>405</v>
      </c>
      <c r="E2058" s="5" t="s">
        <v>348</v>
      </c>
      <c r="F2058" s="5" t="s">
        <v>14</v>
      </c>
      <c r="G2058" s="6">
        <v>25200</v>
      </c>
      <c r="H2058" s="2051" t="str">
        <f>HYPERLINK("https://adv-map.ru/place/?LINK=63a249f266c073f247554e54fa6ce169","Ссылка")</f>
        <v>Ссылка</v>
      </c>
      <c r="I2058" s="5" t="s">
        <v>2120</v>
      </c>
    </row>
    <row r="2059" spans="1:9" s="4" customFormat="1" ht="38.1" customHeight="1" outlineLevel="1" x14ac:dyDescent="0.2">
      <c r="A2059" s="5" t="s">
        <v>340</v>
      </c>
      <c r="B2059" s="5" t="s">
        <v>354</v>
      </c>
      <c r="C2059" s="5" t="s">
        <v>2119</v>
      </c>
      <c r="D2059" s="5" t="s">
        <v>405</v>
      </c>
      <c r="E2059" s="5" t="s">
        <v>348</v>
      </c>
      <c r="F2059" s="5" t="s">
        <v>16</v>
      </c>
      <c r="G2059" s="6">
        <v>17640</v>
      </c>
      <c r="H2059" s="2052" t="str">
        <f>HYPERLINK("https://adv-map.ru/place/?LINK=f1deab673cd308d283e5075ce177d831","Ссылка")</f>
        <v>Ссылка</v>
      </c>
      <c r="I2059" s="5" t="s">
        <v>2120</v>
      </c>
    </row>
    <row r="2060" spans="1:9" s="4" customFormat="1" ht="38.1" customHeight="1" outlineLevel="1" x14ac:dyDescent="0.2">
      <c r="A2060" s="5" t="s">
        <v>340</v>
      </c>
      <c r="B2060" s="5" t="s">
        <v>134</v>
      </c>
      <c r="C2060" s="5" t="s">
        <v>2121</v>
      </c>
      <c r="D2060" s="5" t="s">
        <v>49</v>
      </c>
      <c r="E2060" s="5" t="s">
        <v>13</v>
      </c>
      <c r="F2060" s="5" t="s">
        <v>28</v>
      </c>
      <c r="G2060" s="6">
        <v>52500</v>
      </c>
      <c r="H2060" s="2053" t="str">
        <f>HYPERLINK("https://adv-map.ru/place/?LINK=9a41c85f72531203ecf7582094c9eadd","Ссылка")</f>
        <v>Ссылка</v>
      </c>
      <c r="I2060" s="5" t="s">
        <v>2122</v>
      </c>
    </row>
    <row r="2061" spans="1:9" s="4" customFormat="1" ht="38.1" customHeight="1" outlineLevel="1" x14ac:dyDescent="0.2">
      <c r="A2061" s="5" t="s">
        <v>340</v>
      </c>
      <c r="B2061" s="5" t="s">
        <v>134</v>
      </c>
      <c r="C2061" s="5" t="s">
        <v>2121</v>
      </c>
      <c r="D2061" s="5" t="s">
        <v>49</v>
      </c>
      <c r="E2061" s="5" t="s">
        <v>13</v>
      </c>
      <c r="F2061" s="5" t="s">
        <v>30</v>
      </c>
      <c r="G2061" s="6">
        <v>52500</v>
      </c>
      <c r="H2061" s="2054" t="str">
        <f>HYPERLINK("https://adv-map.ru/place/?LINK=5faf56a180dea3e8e0dc04d7af094c61","Ссылка")</f>
        <v>Ссылка</v>
      </c>
      <c r="I2061" s="5" t="s">
        <v>2122</v>
      </c>
    </row>
    <row r="2062" spans="1:9" s="4" customFormat="1" ht="38.1" customHeight="1" outlineLevel="1" x14ac:dyDescent="0.2">
      <c r="A2062" s="5" t="s">
        <v>340</v>
      </c>
      <c r="B2062" s="5" t="s">
        <v>134</v>
      </c>
      <c r="C2062" s="5" t="s">
        <v>2121</v>
      </c>
      <c r="D2062" s="5" t="s">
        <v>49</v>
      </c>
      <c r="E2062" s="5" t="s">
        <v>13</v>
      </c>
      <c r="F2062" s="5" t="s">
        <v>31</v>
      </c>
      <c r="G2062" s="6">
        <v>52500</v>
      </c>
      <c r="H2062" s="2055" t="str">
        <f>HYPERLINK("https://adv-map.ru/place/?LINK=8466cb1e1e29ed689e14041c7aa99964","Ссылка")</f>
        <v>Ссылка</v>
      </c>
      <c r="I2062" s="5" t="s">
        <v>2122</v>
      </c>
    </row>
    <row r="2063" spans="1:9" s="4" customFormat="1" ht="38.1" customHeight="1" outlineLevel="1" x14ac:dyDescent="0.2">
      <c r="A2063" s="5" t="s">
        <v>340</v>
      </c>
      <c r="B2063" s="5" t="s">
        <v>134</v>
      </c>
      <c r="C2063" s="5" t="s">
        <v>2121</v>
      </c>
      <c r="D2063" s="5" t="s">
        <v>12</v>
      </c>
      <c r="E2063" s="5" t="s">
        <v>13</v>
      </c>
      <c r="F2063" s="5" t="s">
        <v>16</v>
      </c>
      <c r="G2063" s="6">
        <v>44100</v>
      </c>
      <c r="H2063" s="2056" t="str">
        <f>HYPERLINK("https://adv-map.ru/place/?LINK=96a2d821f857035d560d25eb2f0c4401","Ссылка")</f>
        <v>Ссылка</v>
      </c>
      <c r="I2063" s="5" t="s">
        <v>2122</v>
      </c>
    </row>
    <row r="2064" spans="1:9" s="4" customFormat="1" ht="38.1" customHeight="1" outlineLevel="1" x14ac:dyDescent="0.2">
      <c r="A2064" s="5" t="s">
        <v>340</v>
      </c>
      <c r="B2064" s="5" t="s">
        <v>354</v>
      </c>
      <c r="C2064" s="5" t="s">
        <v>2123</v>
      </c>
      <c r="D2064" s="5" t="s">
        <v>347</v>
      </c>
      <c r="E2064" s="5" t="s">
        <v>348</v>
      </c>
      <c r="F2064" s="5" t="s">
        <v>14</v>
      </c>
      <c r="G2064" s="6">
        <v>25200</v>
      </c>
      <c r="H2064" s="2057" t="str">
        <f>HYPERLINK("https://adv-map.ru/place/?LINK=3d430c64ec8bbc83d528e3cccd4353be","Ссылка")</f>
        <v>Ссылка</v>
      </c>
      <c r="I2064" s="5" t="s">
        <v>2124</v>
      </c>
    </row>
    <row r="2065" spans="1:9" s="4" customFormat="1" ht="38.1" customHeight="1" outlineLevel="1" x14ac:dyDescent="0.2">
      <c r="A2065" s="5" t="s">
        <v>340</v>
      </c>
      <c r="B2065" s="5" t="s">
        <v>354</v>
      </c>
      <c r="C2065" s="5" t="s">
        <v>2123</v>
      </c>
      <c r="D2065" s="5" t="s">
        <v>347</v>
      </c>
      <c r="E2065" s="5" t="s">
        <v>348</v>
      </c>
      <c r="F2065" s="5" t="s">
        <v>16</v>
      </c>
      <c r="G2065" s="6">
        <v>17640</v>
      </c>
      <c r="H2065" s="2058" t="str">
        <f>HYPERLINK("https://adv-map.ru/place/?LINK=6f81d90c0d2c6bcc805382fc59e477c9","Ссылка")</f>
        <v>Ссылка</v>
      </c>
      <c r="I2065" s="5" t="s">
        <v>2124</v>
      </c>
    </row>
    <row r="2066" spans="1:9" s="4" customFormat="1" ht="38.1" customHeight="1" outlineLevel="1" x14ac:dyDescent="0.2">
      <c r="A2066" s="5" t="s">
        <v>340</v>
      </c>
      <c r="B2066" s="5" t="s">
        <v>354</v>
      </c>
      <c r="C2066" s="5" t="s">
        <v>2125</v>
      </c>
      <c r="D2066" s="5" t="s">
        <v>405</v>
      </c>
      <c r="E2066" s="5" t="s">
        <v>348</v>
      </c>
      <c r="F2066" s="5" t="s">
        <v>14</v>
      </c>
      <c r="G2066" s="6">
        <v>25200</v>
      </c>
      <c r="H2066" s="2059" t="str">
        <f>HYPERLINK("https://adv-map.ru/place/?LINK=d08170367fe4ecae539206eee0debc5a","Ссылка")</f>
        <v>Ссылка</v>
      </c>
      <c r="I2066" s="5" t="s">
        <v>2126</v>
      </c>
    </row>
    <row r="2067" spans="1:9" s="4" customFormat="1" ht="38.1" customHeight="1" outlineLevel="1" x14ac:dyDescent="0.2">
      <c r="A2067" s="5" t="s">
        <v>340</v>
      </c>
      <c r="B2067" s="5" t="s">
        <v>354</v>
      </c>
      <c r="C2067" s="5" t="s">
        <v>2125</v>
      </c>
      <c r="D2067" s="5" t="s">
        <v>405</v>
      </c>
      <c r="E2067" s="5" t="s">
        <v>348</v>
      </c>
      <c r="F2067" s="5" t="s">
        <v>16</v>
      </c>
      <c r="G2067" s="6">
        <v>17640</v>
      </c>
      <c r="H2067" s="2060" t="str">
        <f>HYPERLINK("https://adv-map.ru/place/?LINK=e199f2a47bcb70fc59d0473066155235","Ссылка")</f>
        <v>Ссылка</v>
      </c>
      <c r="I2067" s="5" t="s">
        <v>2126</v>
      </c>
    </row>
    <row r="2068" spans="1:9" s="4" customFormat="1" ht="38.1" customHeight="1" outlineLevel="1" x14ac:dyDescent="0.2">
      <c r="A2068" s="5" t="s">
        <v>340</v>
      </c>
      <c r="B2068" s="5" t="s">
        <v>354</v>
      </c>
      <c r="C2068" s="5" t="s">
        <v>2127</v>
      </c>
      <c r="D2068" s="5" t="s">
        <v>405</v>
      </c>
      <c r="E2068" s="5" t="s">
        <v>348</v>
      </c>
      <c r="F2068" s="5" t="s">
        <v>14</v>
      </c>
      <c r="G2068" s="6">
        <v>25200</v>
      </c>
      <c r="H2068" s="2061" t="str">
        <f>HYPERLINK("https://adv-map.ru/place/?LINK=24d0b772f8e5e01848572638b1efae4d","Ссылка")</f>
        <v>Ссылка</v>
      </c>
      <c r="I2068" s="5" t="s">
        <v>2128</v>
      </c>
    </row>
    <row r="2069" spans="1:9" s="4" customFormat="1" ht="38.1" customHeight="1" outlineLevel="1" x14ac:dyDescent="0.2">
      <c r="A2069" s="5" t="s">
        <v>340</v>
      </c>
      <c r="B2069" s="5" t="s">
        <v>354</v>
      </c>
      <c r="C2069" s="5" t="s">
        <v>2127</v>
      </c>
      <c r="D2069" s="5" t="s">
        <v>405</v>
      </c>
      <c r="E2069" s="5" t="s">
        <v>348</v>
      </c>
      <c r="F2069" s="5" t="s">
        <v>16</v>
      </c>
      <c r="G2069" s="6">
        <v>17640</v>
      </c>
      <c r="H2069" s="2062" t="str">
        <f>HYPERLINK("https://adv-map.ru/place/?LINK=f2129a5e4e751f70599f059c1e44d058","Ссылка")</f>
        <v>Ссылка</v>
      </c>
      <c r="I2069" s="5" t="s">
        <v>2128</v>
      </c>
    </row>
    <row r="2070" spans="1:9" s="4" customFormat="1" ht="38.1" customHeight="1" outlineLevel="1" x14ac:dyDescent="0.2">
      <c r="A2070" s="5" t="s">
        <v>340</v>
      </c>
      <c r="B2070" s="5" t="s">
        <v>354</v>
      </c>
      <c r="C2070" s="5" t="s">
        <v>2129</v>
      </c>
      <c r="D2070" s="5" t="s">
        <v>12</v>
      </c>
      <c r="E2070" s="5" t="s">
        <v>13</v>
      </c>
      <c r="F2070" s="5" t="s">
        <v>14</v>
      </c>
      <c r="G2070" s="6">
        <v>44100</v>
      </c>
      <c r="H2070" s="2063" t="str">
        <f>HYPERLINK("https://adv-map.ru/place/?LINK=d6ae627e0cd0aa85c24610adc670d6d2","Ссылка")</f>
        <v>Ссылка</v>
      </c>
      <c r="I2070" s="5" t="s">
        <v>2130</v>
      </c>
    </row>
    <row r="2071" spans="1:9" s="4" customFormat="1" ht="38.1" customHeight="1" outlineLevel="1" x14ac:dyDescent="0.2">
      <c r="A2071" s="5" t="s">
        <v>340</v>
      </c>
      <c r="B2071" s="5" t="s">
        <v>354</v>
      </c>
      <c r="C2071" s="5" t="s">
        <v>2129</v>
      </c>
      <c r="D2071" s="5" t="s">
        <v>12</v>
      </c>
      <c r="E2071" s="5" t="s">
        <v>13</v>
      </c>
      <c r="F2071" s="5" t="s">
        <v>16</v>
      </c>
      <c r="G2071" s="6">
        <v>37800</v>
      </c>
      <c r="H2071" s="2064" t="str">
        <f>HYPERLINK("https://adv-map.ru/place/?LINK=ddfdd55427bd350527cc050fef6f467d","Ссылка")</f>
        <v>Ссылка</v>
      </c>
      <c r="I2071" s="5" t="s">
        <v>2130</v>
      </c>
    </row>
    <row r="2072" spans="1:9" s="4" customFormat="1" ht="38.1" customHeight="1" outlineLevel="1" x14ac:dyDescent="0.2">
      <c r="A2072" s="5" t="s">
        <v>340</v>
      </c>
      <c r="B2072" s="5" t="s">
        <v>354</v>
      </c>
      <c r="C2072" s="5" t="s">
        <v>2131</v>
      </c>
      <c r="D2072" s="5" t="s">
        <v>405</v>
      </c>
      <c r="E2072" s="5" t="s">
        <v>348</v>
      </c>
      <c r="F2072" s="5" t="s">
        <v>14</v>
      </c>
      <c r="G2072" s="6">
        <v>25200</v>
      </c>
      <c r="H2072" s="2065" t="str">
        <f>HYPERLINK("https://adv-map.ru/place/?LINK=72ea7174ba4d5004ce679fd6a1a9af78","Ссылка")</f>
        <v>Ссылка</v>
      </c>
      <c r="I2072" s="5" t="s">
        <v>2132</v>
      </c>
    </row>
    <row r="2073" spans="1:9" s="4" customFormat="1" ht="38.1" customHeight="1" outlineLevel="1" x14ac:dyDescent="0.2">
      <c r="A2073" s="5" t="s">
        <v>340</v>
      </c>
      <c r="B2073" s="5" t="s">
        <v>354</v>
      </c>
      <c r="C2073" s="5" t="s">
        <v>2131</v>
      </c>
      <c r="D2073" s="5" t="s">
        <v>405</v>
      </c>
      <c r="E2073" s="5" t="s">
        <v>348</v>
      </c>
      <c r="F2073" s="5" t="s">
        <v>16</v>
      </c>
      <c r="G2073" s="6">
        <v>17640</v>
      </c>
      <c r="H2073" s="2066" t="str">
        <f>HYPERLINK("https://adv-map.ru/place/?LINK=70b9d678184f0045b945fbde8a94702b","Ссылка")</f>
        <v>Ссылка</v>
      </c>
      <c r="I2073" s="5" t="s">
        <v>2132</v>
      </c>
    </row>
    <row r="2074" spans="1:9" s="4" customFormat="1" ht="38.1" customHeight="1" outlineLevel="1" x14ac:dyDescent="0.2">
      <c r="A2074" s="5" t="s">
        <v>340</v>
      </c>
      <c r="B2074" s="5" t="s">
        <v>354</v>
      </c>
      <c r="C2074" s="5" t="s">
        <v>2133</v>
      </c>
      <c r="D2074" s="5" t="s">
        <v>347</v>
      </c>
      <c r="E2074" s="5" t="s">
        <v>348</v>
      </c>
      <c r="F2074" s="5" t="s">
        <v>14</v>
      </c>
      <c r="G2074" s="6">
        <v>25200</v>
      </c>
      <c r="H2074" s="2067" t="str">
        <f>HYPERLINK("https://adv-map.ru/place/?LINK=a8c0b91536ab8f31b1152048896a0bd6","Ссылка")</f>
        <v>Ссылка</v>
      </c>
      <c r="I2074" s="5" t="s">
        <v>2134</v>
      </c>
    </row>
    <row r="2075" spans="1:9" s="4" customFormat="1" ht="38.1" customHeight="1" outlineLevel="1" x14ac:dyDescent="0.2">
      <c r="A2075" s="5" t="s">
        <v>340</v>
      </c>
      <c r="B2075" s="5" t="s">
        <v>354</v>
      </c>
      <c r="C2075" s="5" t="s">
        <v>2133</v>
      </c>
      <c r="D2075" s="5" t="s">
        <v>347</v>
      </c>
      <c r="E2075" s="5" t="s">
        <v>348</v>
      </c>
      <c r="F2075" s="5" t="s">
        <v>16</v>
      </c>
      <c r="G2075" s="6">
        <v>17640</v>
      </c>
      <c r="H2075" s="2068" t="str">
        <f>HYPERLINK("https://adv-map.ru/place/?LINK=be9fc6ab4af34c6999241addf8efeab0","Ссылка")</f>
        <v>Ссылка</v>
      </c>
      <c r="I2075" s="5" t="s">
        <v>2134</v>
      </c>
    </row>
    <row r="2076" spans="1:9" s="4" customFormat="1" ht="51" customHeight="1" outlineLevel="1" x14ac:dyDescent="0.2">
      <c r="A2076" s="5" t="s">
        <v>340</v>
      </c>
      <c r="B2076" s="5" t="s">
        <v>134</v>
      </c>
      <c r="C2076" s="5" t="s">
        <v>2135</v>
      </c>
      <c r="D2076" s="5" t="s">
        <v>49</v>
      </c>
      <c r="E2076" s="5" t="s">
        <v>13</v>
      </c>
      <c r="F2076" s="5" t="s">
        <v>28</v>
      </c>
      <c r="G2076" s="6">
        <v>52500</v>
      </c>
      <c r="H2076" s="2069" t="str">
        <f>HYPERLINK("https://adv-map.ru/place/?LINK=9acb1915d47e2530b8d14eebbde0b61d","Ссылка")</f>
        <v>Ссылка</v>
      </c>
      <c r="I2076" s="5" t="s">
        <v>2136</v>
      </c>
    </row>
    <row r="2077" spans="1:9" s="4" customFormat="1" ht="38.1" customHeight="1" outlineLevel="1" x14ac:dyDescent="0.2">
      <c r="A2077" s="5" t="s">
        <v>340</v>
      </c>
      <c r="B2077" s="5" t="s">
        <v>134</v>
      </c>
      <c r="C2077" s="5" t="s">
        <v>2135</v>
      </c>
      <c r="D2077" s="5" t="s">
        <v>49</v>
      </c>
      <c r="E2077" s="5" t="s">
        <v>13</v>
      </c>
      <c r="F2077" s="5" t="s">
        <v>30</v>
      </c>
      <c r="G2077" s="6">
        <v>52500</v>
      </c>
      <c r="H2077" s="2070" t="str">
        <f>HYPERLINK("https://adv-map.ru/place/?LINK=2598e275e005f66e15dff7dd63d31f06","Ссылка")</f>
        <v>Ссылка</v>
      </c>
      <c r="I2077" s="5" t="s">
        <v>2136</v>
      </c>
    </row>
    <row r="2078" spans="1:9" s="4" customFormat="1" ht="38.1" customHeight="1" outlineLevel="1" x14ac:dyDescent="0.2">
      <c r="A2078" s="5" t="s">
        <v>340</v>
      </c>
      <c r="B2078" s="5" t="s">
        <v>134</v>
      </c>
      <c r="C2078" s="5" t="s">
        <v>2135</v>
      </c>
      <c r="D2078" s="5" t="s">
        <v>49</v>
      </c>
      <c r="E2078" s="5" t="s">
        <v>13</v>
      </c>
      <c r="F2078" s="5" t="s">
        <v>31</v>
      </c>
      <c r="G2078" s="6">
        <v>52500</v>
      </c>
      <c r="H2078" s="2071" t="str">
        <f>HYPERLINK("https://adv-map.ru/place/?LINK=7c5de05054e2d17307f6393bb6373d70","Ссылка")</f>
        <v>Ссылка</v>
      </c>
      <c r="I2078" s="5" t="s">
        <v>2136</v>
      </c>
    </row>
    <row r="2079" spans="1:9" s="4" customFormat="1" ht="38.1" customHeight="1" outlineLevel="1" x14ac:dyDescent="0.2">
      <c r="A2079" s="5" t="s">
        <v>340</v>
      </c>
      <c r="B2079" s="5" t="s">
        <v>134</v>
      </c>
      <c r="C2079" s="5" t="s">
        <v>2135</v>
      </c>
      <c r="D2079" s="5" t="s">
        <v>12</v>
      </c>
      <c r="E2079" s="5" t="s">
        <v>13</v>
      </c>
      <c r="F2079" s="5" t="s">
        <v>16</v>
      </c>
      <c r="G2079" s="6">
        <v>46200</v>
      </c>
      <c r="H2079" s="2072" t="str">
        <f>HYPERLINK("https://adv-map.ru/place/?LINK=bed7b414599f5cc93bcdfea827878ff0","Ссылка")</f>
        <v>Ссылка</v>
      </c>
      <c r="I2079" s="5" t="s">
        <v>2136</v>
      </c>
    </row>
    <row r="2080" spans="1:9" s="4" customFormat="1" ht="38.1" customHeight="1" outlineLevel="1" x14ac:dyDescent="0.2">
      <c r="A2080" s="5" t="s">
        <v>340</v>
      </c>
      <c r="B2080" s="5" t="s">
        <v>134</v>
      </c>
      <c r="C2080" s="5" t="s">
        <v>2137</v>
      </c>
      <c r="D2080" s="5" t="s">
        <v>347</v>
      </c>
      <c r="E2080" s="5" t="s">
        <v>348</v>
      </c>
      <c r="F2080" s="5" t="s">
        <v>14</v>
      </c>
      <c r="G2080" s="6">
        <v>25200</v>
      </c>
      <c r="H2080" s="2073" t="str">
        <f>HYPERLINK("https://adv-map.ru/place/?LINK=c9c51b91de9f9d71c778b3958513459b","Ссылка")</f>
        <v>Ссылка</v>
      </c>
      <c r="I2080" s="5" t="s">
        <v>2138</v>
      </c>
    </row>
    <row r="2081" spans="1:9" s="4" customFormat="1" ht="38.1" customHeight="1" outlineLevel="1" x14ac:dyDescent="0.2">
      <c r="A2081" s="5" t="s">
        <v>340</v>
      </c>
      <c r="B2081" s="5" t="s">
        <v>134</v>
      </c>
      <c r="C2081" s="5" t="s">
        <v>2137</v>
      </c>
      <c r="D2081" s="5" t="s">
        <v>347</v>
      </c>
      <c r="E2081" s="5" t="s">
        <v>348</v>
      </c>
      <c r="F2081" s="5" t="s">
        <v>16</v>
      </c>
      <c r="G2081" s="6">
        <v>22680</v>
      </c>
      <c r="H2081" s="2074" t="str">
        <f>HYPERLINK("https://adv-map.ru/place/?LINK=f8393fa51f0e588664ae346385fe45ef","Ссылка")</f>
        <v>Ссылка</v>
      </c>
      <c r="I2081" s="5" t="s">
        <v>2139</v>
      </c>
    </row>
    <row r="2082" spans="1:9" s="4" customFormat="1" ht="38.1" customHeight="1" outlineLevel="1" x14ac:dyDescent="0.2">
      <c r="A2082" s="5" t="s">
        <v>340</v>
      </c>
      <c r="B2082" s="5" t="s">
        <v>134</v>
      </c>
      <c r="C2082" s="5" t="s">
        <v>2140</v>
      </c>
      <c r="D2082" s="5" t="s">
        <v>12</v>
      </c>
      <c r="E2082" s="5" t="s">
        <v>13</v>
      </c>
      <c r="F2082" s="5" t="s">
        <v>14</v>
      </c>
      <c r="G2082" s="6">
        <v>46200</v>
      </c>
      <c r="H2082" s="2075" t="str">
        <f>HYPERLINK("https://adv-map.ru/place/?LINK=b644efdb243567fc713aa75fb24e959f","Ссылка")</f>
        <v>Ссылка</v>
      </c>
      <c r="I2082" s="5" t="s">
        <v>2141</v>
      </c>
    </row>
    <row r="2083" spans="1:9" s="4" customFormat="1" ht="38.1" customHeight="1" outlineLevel="1" x14ac:dyDescent="0.2">
      <c r="A2083" s="5" t="s">
        <v>340</v>
      </c>
      <c r="B2083" s="5" t="s">
        <v>134</v>
      </c>
      <c r="C2083" s="5" t="s">
        <v>2140</v>
      </c>
      <c r="D2083" s="5" t="s">
        <v>12</v>
      </c>
      <c r="E2083" s="5" t="s">
        <v>13</v>
      </c>
      <c r="F2083" s="5" t="s">
        <v>16</v>
      </c>
      <c r="G2083" s="6">
        <v>37800</v>
      </c>
      <c r="H2083" s="2076" t="str">
        <f>HYPERLINK("https://adv-map.ru/place/?LINK=640b027272d84b2d64db34f5a09b36f8","Ссылка")</f>
        <v>Ссылка</v>
      </c>
      <c r="I2083" s="5" t="s">
        <v>2141</v>
      </c>
    </row>
    <row r="2084" spans="1:9" s="4" customFormat="1" ht="38.1" customHeight="1" outlineLevel="1" x14ac:dyDescent="0.2">
      <c r="A2084" s="5" t="s">
        <v>340</v>
      </c>
      <c r="B2084" s="5" t="s">
        <v>134</v>
      </c>
      <c r="C2084" s="5" t="s">
        <v>2142</v>
      </c>
      <c r="D2084" s="5" t="s">
        <v>347</v>
      </c>
      <c r="E2084" s="5" t="s">
        <v>348</v>
      </c>
      <c r="F2084" s="5" t="s">
        <v>14</v>
      </c>
      <c r="G2084" s="6">
        <v>25200</v>
      </c>
      <c r="H2084" s="2077" t="str">
        <f>HYPERLINK("https://adv-map.ru/place/?LINK=82b88788732e9c72717bfce0e24119d0","Ссылка")</f>
        <v>Ссылка</v>
      </c>
      <c r="I2084" s="5" t="s">
        <v>2143</v>
      </c>
    </row>
    <row r="2085" spans="1:9" s="4" customFormat="1" ht="38.1" customHeight="1" outlineLevel="1" x14ac:dyDescent="0.2">
      <c r="A2085" s="5" t="s">
        <v>340</v>
      </c>
      <c r="B2085" s="5" t="s">
        <v>134</v>
      </c>
      <c r="C2085" s="5" t="s">
        <v>2142</v>
      </c>
      <c r="D2085" s="5" t="s">
        <v>347</v>
      </c>
      <c r="E2085" s="5" t="s">
        <v>348</v>
      </c>
      <c r="F2085" s="5" t="s">
        <v>16</v>
      </c>
      <c r="G2085" s="6">
        <v>22680</v>
      </c>
      <c r="H2085" s="2078" t="str">
        <f>HYPERLINK("https://adv-map.ru/place/?LINK=8b57acb4239b40e970da05d1e91e701c","Ссылка")</f>
        <v>Ссылка</v>
      </c>
      <c r="I2085" s="5" t="s">
        <v>2144</v>
      </c>
    </row>
    <row r="2086" spans="1:9" s="4" customFormat="1" ht="38.1" customHeight="1" outlineLevel="1" x14ac:dyDescent="0.2">
      <c r="A2086" s="5" t="s">
        <v>340</v>
      </c>
      <c r="B2086" s="5" t="s">
        <v>354</v>
      </c>
      <c r="C2086" s="5" t="s">
        <v>2145</v>
      </c>
      <c r="D2086" s="5" t="s">
        <v>347</v>
      </c>
      <c r="E2086" s="5" t="s">
        <v>348</v>
      </c>
      <c r="F2086" s="5" t="s">
        <v>14</v>
      </c>
      <c r="G2086" s="6">
        <v>25200</v>
      </c>
      <c r="H2086" s="2079" t="str">
        <f>HYPERLINK("https://adv-map.ru/place/?LINK=a77d404d2bc3114dcbad4a540a13a2ef","Ссылка")</f>
        <v>Ссылка</v>
      </c>
      <c r="I2086" s="5" t="s">
        <v>2146</v>
      </c>
    </row>
    <row r="2087" spans="1:9" s="4" customFormat="1" ht="38.1" customHeight="1" outlineLevel="1" x14ac:dyDescent="0.2">
      <c r="A2087" s="5" t="s">
        <v>340</v>
      </c>
      <c r="B2087" s="5" t="s">
        <v>354</v>
      </c>
      <c r="C2087" s="5" t="s">
        <v>2145</v>
      </c>
      <c r="D2087" s="5" t="s">
        <v>347</v>
      </c>
      <c r="E2087" s="5" t="s">
        <v>348</v>
      </c>
      <c r="F2087" s="5" t="s">
        <v>16</v>
      </c>
      <c r="G2087" s="6">
        <v>17640</v>
      </c>
      <c r="H2087" s="2080" t="str">
        <f>HYPERLINK("https://adv-map.ru/place/?LINK=6f6ef082aadfed33c184804a211a5e00","Ссылка")</f>
        <v>Ссылка</v>
      </c>
      <c r="I2087" s="5" t="s">
        <v>2146</v>
      </c>
    </row>
    <row r="2088" spans="1:9" s="4" customFormat="1" ht="38.1" customHeight="1" outlineLevel="1" x14ac:dyDescent="0.2">
      <c r="A2088" s="5" t="s">
        <v>340</v>
      </c>
      <c r="B2088" s="5" t="s">
        <v>341</v>
      </c>
      <c r="C2088" s="5" t="s">
        <v>2147</v>
      </c>
      <c r="D2088" s="5" t="s">
        <v>347</v>
      </c>
      <c r="E2088" s="5" t="s">
        <v>348</v>
      </c>
      <c r="F2088" s="5" t="s">
        <v>14</v>
      </c>
      <c r="G2088" s="6">
        <v>18900</v>
      </c>
      <c r="H2088" s="2081" t="str">
        <f>HYPERLINK("https://adv-map.ru/place/?LINK=bb9d177da7abb48df9394a5afcba6f77","Ссылка")</f>
        <v>Ссылка</v>
      </c>
      <c r="I2088" s="5" t="s">
        <v>2148</v>
      </c>
    </row>
    <row r="2089" spans="1:9" s="4" customFormat="1" ht="38.1" customHeight="1" outlineLevel="1" x14ac:dyDescent="0.2">
      <c r="A2089" s="5" t="s">
        <v>340</v>
      </c>
      <c r="B2089" s="5" t="s">
        <v>341</v>
      </c>
      <c r="C2089" s="5" t="s">
        <v>2147</v>
      </c>
      <c r="D2089" s="5" t="s">
        <v>347</v>
      </c>
      <c r="E2089" s="5" t="s">
        <v>348</v>
      </c>
      <c r="F2089" s="5" t="s">
        <v>16</v>
      </c>
      <c r="G2089" s="6">
        <v>14700</v>
      </c>
      <c r="H2089" s="2082" t="str">
        <f>HYPERLINK("https://adv-map.ru/place/?LINK=6bb48cdcc0a77328cc1de95fdae6345d","Ссылка")</f>
        <v>Ссылка</v>
      </c>
      <c r="I2089" s="5" t="s">
        <v>2148</v>
      </c>
    </row>
    <row r="2090" spans="1:9" s="4" customFormat="1" ht="38.1" customHeight="1" outlineLevel="1" x14ac:dyDescent="0.2">
      <c r="A2090" s="5" t="s">
        <v>340</v>
      </c>
      <c r="B2090" s="5" t="s">
        <v>341</v>
      </c>
      <c r="C2090" s="5" t="s">
        <v>2149</v>
      </c>
      <c r="D2090" s="5" t="s">
        <v>347</v>
      </c>
      <c r="E2090" s="5" t="s">
        <v>348</v>
      </c>
      <c r="F2090" s="5" t="s">
        <v>14</v>
      </c>
      <c r="G2090" s="6">
        <v>18900</v>
      </c>
      <c r="H2090" s="2083" t="str">
        <f>HYPERLINK("https://adv-map.ru/place/?LINK=6b0047999aee7fb3c16fd9a850dc8609","Ссылка")</f>
        <v>Ссылка</v>
      </c>
      <c r="I2090" s="5" t="s">
        <v>2150</v>
      </c>
    </row>
    <row r="2091" spans="1:9" s="4" customFormat="1" ht="38.1" customHeight="1" outlineLevel="1" x14ac:dyDescent="0.2">
      <c r="A2091" s="5" t="s">
        <v>340</v>
      </c>
      <c r="B2091" s="5" t="s">
        <v>341</v>
      </c>
      <c r="C2091" s="5" t="s">
        <v>2149</v>
      </c>
      <c r="D2091" s="5" t="s">
        <v>347</v>
      </c>
      <c r="E2091" s="5" t="s">
        <v>348</v>
      </c>
      <c r="F2091" s="5" t="s">
        <v>16</v>
      </c>
      <c r="G2091" s="6">
        <v>14700</v>
      </c>
      <c r="H2091" s="2084" t="str">
        <f>HYPERLINK("https://adv-map.ru/place/?LINK=cd70c77f44e1b559c91f350606d4c225","Ссылка")</f>
        <v>Ссылка</v>
      </c>
      <c r="I2091" s="5" t="s">
        <v>2150</v>
      </c>
    </row>
    <row r="2092" spans="1:9" s="4" customFormat="1" ht="38.1" customHeight="1" outlineLevel="1" x14ac:dyDescent="0.2">
      <c r="A2092" s="5" t="s">
        <v>340</v>
      </c>
      <c r="B2092" s="5" t="s">
        <v>341</v>
      </c>
      <c r="C2092" s="5" t="s">
        <v>2151</v>
      </c>
      <c r="D2092" s="5" t="s">
        <v>347</v>
      </c>
      <c r="E2092" s="5" t="s">
        <v>348</v>
      </c>
      <c r="F2092" s="5" t="s">
        <v>14</v>
      </c>
      <c r="G2092" s="6">
        <v>18900</v>
      </c>
      <c r="H2092" s="2085" t="str">
        <f>HYPERLINK("https://adv-map.ru/place/?LINK=8d7e25f344be8e9f56a3499a778158ab","Ссылка")</f>
        <v>Ссылка</v>
      </c>
      <c r="I2092" s="5" t="s">
        <v>2152</v>
      </c>
    </row>
    <row r="2093" spans="1:9" s="4" customFormat="1" ht="38.1" customHeight="1" outlineLevel="1" x14ac:dyDescent="0.2">
      <c r="A2093" s="5" t="s">
        <v>340</v>
      </c>
      <c r="B2093" s="5" t="s">
        <v>341</v>
      </c>
      <c r="C2093" s="5" t="s">
        <v>2151</v>
      </c>
      <c r="D2093" s="5" t="s">
        <v>347</v>
      </c>
      <c r="E2093" s="5" t="s">
        <v>348</v>
      </c>
      <c r="F2093" s="5" t="s">
        <v>16</v>
      </c>
      <c r="G2093" s="6">
        <v>14700</v>
      </c>
      <c r="H2093" s="2086" t="str">
        <f>HYPERLINK("https://adv-map.ru/place/?LINK=391b0755a617c9a0f1e3f3718190bd21","Ссылка")</f>
        <v>Ссылка</v>
      </c>
      <c r="I2093" s="5" t="s">
        <v>2152</v>
      </c>
    </row>
    <row r="2094" spans="1:9" s="4" customFormat="1" ht="38.1" customHeight="1" outlineLevel="1" x14ac:dyDescent="0.2">
      <c r="A2094" s="5" t="s">
        <v>340</v>
      </c>
      <c r="B2094" s="5" t="s">
        <v>546</v>
      </c>
      <c r="C2094" s="5" t="s">
        <v>2153</v>
      </c>
      <c r="D2094" s="5" t="s">
        <v>12</v>
      </c>
      <c r="E2094" s="5" t="s">
        <v>13</v>
      </c>
      <c r="F2094" s="5" t="s">
        <v>14</v>
      </c>
      <c r="G2094" s="6">
        <v>37800</v>
      </c>
      <c r="H2094" s="2087" t="str">
        <f>HYPERLINK("https://adv-map.ru/place/?LINK=46d574bb96566a8702c5855a8de6edb9","Ссылка")</f>
        <v>Ссылка</v>
      </c>
      <c r="I2094" s="5" t="s">
        <v>2154</v>
      </c>
    </row>
    <row r="2095" spans="1:9" s="4" customFormat="1" ht="38.1" customHeight="1" outlineLevel="1" x14ac:dyDescent="0.2">
      <c r="A2095" s="5" t="s">
        <v>340</v>
      </c>
      <c r="B2095" s="5" t="s">
        <v>546</v>
      </c>
      <c r="C2095" s="5" t="s">
        <v>2153</v>
      </c>
      <c r="D2095" s="5" t="s">
        <v>12</v>
      </c>
      <c r="E2095" s="5" t="s">
        <v>13</v>
      </c>
      <c r="F2095" s="5" t="s">
        <v>16</v>
      </c>
      <c r="G2095" s="6">
        <v>30240</v>
      </c>
      <c r="H2095" s="2088" t="str">
        <f>HYPERLINK("https://adv-map.ru/place/?LINK=45df8a6f88eb4efcd4cffb568f506962","Ссылка")</f>
        <v>Ссылка</v>
      </c>
      <c r="I2095" s="5" t="s">
        <v>2154</v>
      </c>
    </row>
    <row r="2096" spans="1:9" s="4" customFormat="1" ht="38.1" customHeight="1" outlineLevel="1" x14ac:dyDescent="0.2">
      <c r="A2096" s="5" t="s">
        <v>340</v>
      </c>
      <c r="B2096" s="5" t="s">
        <v>546</v>
      </c>
      <c r="C2096" s="5" t="s">
        <v>2155</v>
      </c>
      <c r="D2096" s="5" t="s">
        <v>12</v>
      </c>
      <c r="E2096" s="5" t="s">
        <v>13</v>
      </c>
      <c r="F2096" s="5" t="s">
        <v>14</v>
      </c>
      <c r="G2096" s="6">
        <v>37800</v>
      </c>
      <c r="H2096" s="2089" t="str">
        <f>HYPERLINK("https://adv-map.ru/place/?LINK=a316d5eb6b9f054199d7b6c07be363c4","Ссылка")</f>
        <v>Ссылка</v>
      </c>
      <c r="I2096" s="5" t="s">
        <v>2156</v>
      </c>
    </row>
    <row r="2097" spans="1:9" s="4" customFormat="1" ht="38.1" customHeight="1" outlineLevel="1" x14ac:dyDescent="0.2">
      <c r="A2097" s="5" t="s">
        <v>340</v>
      </c>
      <c r="B2097" s="5" t="s">
        <v>546</v>
      </c>
      <c r="C2097" s="5" t="s">
        <v>2155</v>
      </c>
      <c r="D2097" s="5" t="s">
        <v>12</v>
      </c>
      <c r="E2097" s="5" t="s">
        <v>13</v>
      </c>
      <c r="F2097" s="5" t="s">
        <v>16</v>
      </c>
      <c r="G2097" s="6">
        <v>30240</v>
      </c>
      <c r="H2097" s="2090" t="str">
        <f>HYPERLINK("https://adv-map.ru/place/?LINK=9d1e946298dde8cc5c84827a1a21e879","Ссылка")</f>
        <v>Ссылка</v>
      </c>
      <c r="I2097" s="5" t="s">
        <v>2156</v>
      </c>
    </row>
    <row r="2098" spans="1:9" s="4" customFormat="1" ht="38.1" customHeight="1" outlineLevel="1" x14ac:dyDescent="0.2">
      <c r="A2098" s="5" t="s">
        <v>340</v>
      </c>
      <c r="B2098" s="5" t="s">
        <v>546</v>
      </c>
      <c r="C2098" s="5" t="s">
        <v>2157</v>
      </c>
      <c r="D2098" s="5" t="s">
        <v>12</v>
      </c>
      <c r="E2098" s="5" t="s">
        <v>13</v>
      </c>
      <c r="F2098" s="5" t="s">
        <v>14</v>
      </c>
      <c r="G2098" s="6">
        <v>37800</v>
      </c>
      <c r="H2098" s="2091" t="str">
        <f>HYPERLINK("https://adv-map.ru/place/?LINK=baa776b085e2f863daad526365e7a4bf","Ссылка")</f>
        <v>Ссылка</v>
      </c>
      <c r="I2098" s="5" t="s">
        <v>2158</v>
      </c>
    </row>
    <row r="2099" spans="1:9" s="4" customFormat="1" ht="38.1" customHeight="1" outlineLevel="1" x14ac:dyDescent="0.2">
      <c r="A2099" s="5" t="s">
        <v>340</v>
      </c>
      <c r="B2099" s="5" t="s">
        <v>546</v>
      </c>
      <c r="C2099" s="5" t="s">
        <v>2157</v>
      </c>
      <c r="D2099" s="5" t="s">
        <v>12</v>
      </c>
      <c r="E2099" s="5" t="s">
        <v>13</v>
      </c>
      <c r="F2099" s="5" t="s">
        <v>16</v>
      </c>
      <c r="G2099" s="6">
        <v>30240</v>
      </c>
      <c r="H2099" s="2092" t="str">
        <f>HYPERLINK("https://adv-map.ru/place/?LINK=f716f84802c27d520e3524c3deca7349","Ссылка")</f>
        <v>Ссылка</v>
      </c>
      <c r="I2099" s="5" t="s">
        <v>2158</v>
      </c>
    </row>
    <row r="2100" spans="1:9" s="4" customFormat="1" ht="38.1" customHeight="1" outlineLevel="1" x14ac:dyDescent="0.2">
      <c r="A2100" s="5" t="s">
        <v>340</v>
      </c>
      <c r="B2100" s="5" t="s">
        <v>546</v>
      </c>
      <c r="C2100" s="5" t="s">
        <v>2159</v>
      </c>
      <c r="D2100" s="5" t="s">
        <v>12</v>
      </c>
      <c r="E2100" s="5" t="s">
        <v>13</v>
      </c>
      <c r="F2100" s="5" t="s">
        <v>14</v>
      </c>
      <c r="G2100" s="6">
        <v>37800</v>
      </c>
      <c r="H2100" s="2093" t="str">
        <f>HYPERLINK("https://adv-map.ru/place/?LINK=46d4c43d12dcd4d7158c119ba0594989","Ссылка")</f>
        <v>Ссылка</v>
      </c>
      <c r="I2100" s="5" t="s">
        <v>2160</v>
      </c>
    </row>
    <row r="2101" spans="1:9" s="4" customFormat="1" ht="38.1" customHeight="1" outlineLevel="1" x14ac:dyDescent="0.2">
      <c r="A2101" s="5" t="s">
        <v>340</v>
      </c>
      <c r="B2101" s="5" t="s">
        <v>546</v>
      </c>
      <c r="C2101" s="5" t="s">
        <v>2159</v>
      </c>
      <c r="D2101" s="5" t="s">
        <v>12</v>
      </c>
      <c r="E2101" s="5" t="s">
        <v>13</v>
      </c>
      <c r="F2101" s="5" t="s">
        <v>16</v>
      </c>
      <c r="G2101" s="6">
        <v>25200</v>
      </c>
      <c r="H2101" s="2094" t="str">
        <f>HYPERLINK("https://adv-map.ru/place/?LINK=024cdc0dc7bc466121884b3f1d40c0c0","Ссылка")</f>
        <v>Ссылка</v>
      </c>
      <c r="I2101" s="5" t="s">
        <v>2160</v>
      </c>
    </row>
    <row r="2102" spans="1:9" s="4" customFormat="1" ht="38.1" customHeight="1" outlineLevel="1" x14ac:dyDescent="0.2">
      <c r="A2102" s="5" t="s">
        <v>340</v>
      </c>
      <c r="B2102" s="5" t="s">
        <v>546</v>
      </c>
      <c r="C2102" s="5" t="s">
        <v>2161</v>
      </c>
      <c r="D2102" s="5" t="s">
        <v>12</v>
      </c>
      <c r="E2102" s="5" t="s">
        <v>13</v>
      </c>
      <c r="F2102" s="5" t="s">
        <v>14</v>
      </c>
      <c r="G2102" s="6">
        <v>37800</v>
      </c>
      <c r="H2102" s="2095" t="str">
        <f>HYPERLINK("https://adv-map.ru/place/?LINK=7c38d38595c52818905dbbd72f10a898","Ссылка")</f>
        <v>Ссылка</v>
      </c>
      <c r="I2102" s="5" t="s">
        <v>2162</v>
      </c>
    </row>
    <row r="2103" spans="1:9" s="4" customFormat="1" ht="38.1" customHeight="1" outlineLevel="1" x14ac:dyDescent="0.2">
      <c r="A2103" s="5" t="s">
        <v>340</v>
      </c>
      <c r="B2103" s="5" t="s">
        <v>546</v>
      </c>
      <c r="C2103" s="5" t="s">
        <v>2161</v>
      </c>
      <c r="D2103" s="5" t="s">
        <v>49</v>
      </c>
      <c r="E2103" s="5" t="s">
        <v>13</v>
      </c>
      <c r="F2103" s="5" t="s">
        <v>28</v>
      </c>
      <c r="G2103" s="6">
        <v>38500</v>
      </c>
      <c r="H2103" s="2096" t="str">
        <f>HYPERLINK("https://adv-map.ru/place/?LINK=52214f555ea7d7ced05f43f3e5775784","Ссылка")</f>
        <v>Ссылка</v>
      </c>
      <c r="I2103" s="5" t="s">
        <v>2163</v>
      </c>
    </row>
    <row r="2104" spans="1:9" s="4" customFormat="1" ht="38.1" customHeight="1" outlineLevel="1" x14ac:dyDescent="0.2">
      <c r="A2104" s="5" t="s">
        <v>340</v>
      </c>
      <c r="B2104" s="5" t="s">
        <v>546</v>
      </c>
      <c r="C2104" s="5" t="s">
        <v>2161</v>
      </c>
      <c r="D2104" s="5" t="s">
        <v>49</v>
      </c>
      <c r="E2104" s="5" t="s">
        <v>13</v>
      </c>
      <c r="F2104" s="5" t="s">
        <v>30</v>
      </c>
      <c r="G2104" s="6">
        <v>38500</v>
      </c>
      <c r="H2104" s="2097" t="str">
        <f>HYPERLINK("https://adv-map.ru/place/?LINK=2e1059a311c4bdb8d09685b965ca7537","Ссылка")</f>
        <v>Ссылка</v>
      </c>
      <c r="I2104" s="5" t="s">
        <v>2163</v>
      </c>
    </row>
    <row r="2105" spans="1:9" s="4" customFormat="1" ht="38.1" customHeight="1" outlineLevel="1" x14ac:dyDescent="0.2">
      <c r="A2105" s="5" t="s">
        <v>340</v>
      </c>
      <c r="B2105" s="5" t="s">
        <v>546</v>
      </c>
      <c r="C2105" s="5" t="s">
        <v>2161</v>
      </c>
      <c r="D2105" s="5" t="s">
        <v>49</v>
      </c>
      <c r="E2105" s="5" t="s">
        <v>13</v>
      </c>
      <c r="F2105" s="5" t="s">
        <v>31</v>
      </c>
      <c r="G2105" s="6">
        <v>38500</v>
      </c>
      <c r="H2105" s="2098" t="str">
        <f>HYPERLINK("https://adv-map.ru/place/?LINK=105f54f6cbeb4bca8cea8778e7755df6","Ссылка")</f>
        <v>Ссылка</v>
      </c>
      <c r="I2105" s="5" t="s">
        <v>2163</v>
      </c>
    </row>
    <row r="2106" spans="1:9" s="4" customFormat="1" ht="38.1" customHeight="1" outlineLevel="1" x14ac:dyDescent="0.2">
      <c r="A2106" s="5" t="s">
        <v>340</v>
      </c>
      <c r="B2106" s="5" t="s">
        <v>546</v>
      </c>
      <c r="C2106" s="5" t="s">
        <v>2161</v>
      </c>
      <c r="D2106" s="5" t="s">
        <v>12</v>
      </c>
      <c r="E2106" s="5" t="s">
        <v>13</v>
      </c>
      <c r="F2106" s="5" t="s">
        <v>16</v>
      </c>
      <c r="G2106" s="6">
        <v>30240</v>
      </c>
      <c r="H2106" s="2099" t="str">
        <f>HYPERLINK("https://adv-map.ru/place/?LINK=a8285403da0ecca404dbc4687b357b0b","Ссылка")</f>
        <v>Ссылка</v>
      </c>
      <c r="I2106" s="5" t="s">
        <v>2162</v>
      </c>
    </row>
    <row r="2107" spans="1:9" s="4" customFormat="1" ht="38.1" customHeight="1" outlineLevel="1" x14ac:dyDescent="0.2">
      <c r="A2107" s="5" t="s">
        <v>340</v>
      </c>
      <c r="B2107" s="5" t="s">
        <v>134</v>
      </c>
      <c r="C2107" s="5" t="s">
        <v>2164</v>
      </c>
      <c r="D2107" s="5" t="s">
        <v>347</v>
      </c>
      <c r="E2107" s="5" t="s">
        <v>348</v>
      </c>
      <c r="F2107" s="5" t="s">
        <v>14</v>
      </c>
      <c r="G2107" s="6">
        <v>25200</v>
      </c>
      <c r="H2107" s="2100" t="str">
        <f>HYPERLINK("https://adv-map.ru/place/?LINK=ed5b783238c271e5ea15aa58fed49286","Ссылка")</f>
        <v>Ссылка</v>
      </c>
      <c r="I2107" s="5" t="s">
        <v>2165</v>
      </c>
    </row>
    <row r="2108" spans="1:9" s="4" customFormat="1" ht="38.1" customHeight="1" outlineLevel="1" x14ac:dyDescent="0.2">
      <c r="A2108" s="5" t="s">
        <v>340</v>
      </c>
      <c r="B2108" s="5" t="s">
        <v>134</v>
      </c>
      <c r="C2108" s="5" t="s">
        <v>2164</v>
      </c>
      <c r="D2108" s="5" t="s">
        <v>347</v>
      </c>
      <c r="E2108" s="5" t="s">
        <v>348</v>
      </c>
      <c r="F2108" s="5" t="s">
        <v>16</v>
      </c>
      <c r="G2108" s="6">
        <v>22680</v>
      </c>
      <c r="H2108" s="2101" t="str">
        <f>HYPERLINK("https://adv-map.ru/place/?LINK=90bca91d37053d2f492fa2073c665302","Ссылка")</f>
        <v>Ссылка</v>
      </c>
      <c r="I2108" s="5" t="s">
        <v>2165</v>
      </c>
    </row>
    <row r="2109" spans="1:9" s="4" customFormat="1" ht="38.1" customHeight="1" outlineLevel="1" x14ac:dyDescent="0.2">
      <c r="A2109" s="5" t="s">
        <v>340</v>
      </c>
      <c r="B2109" s="5" t="s">
        <v>354</v>
      </c>
      <c r="C2109" s="5" t="s">
        <v>2166</v>
      </c>
      <c r="D2109" s="5" t="s">
        <v>347</v>
      </c>
      <c r="E2109" s="5" t="s">
        <v>348</v>
      </c>
      <c r="F2109" s="5" t="s">
        <v>14</v>
      </c>
      <c r="G2109" s="6">
        <v>20160</v>
      </c>
      <c r="H2109" s="2102" t="str">
        <f>HYPERLINK("https://adv-map.ru/place/?LINK=1057ba43c08ba3f8c07a7e8303dc391c","Ссылка")</f>
        <v>Ссылка</v>
      </c>
      <c r="I2109" s="5" t="s">
        <v>2167</v>
      </c>
    </row>
    <row r="2110" spans="1:9" s="4" customFormat="1" ht="38.1" customHeight="1" outlineLevel="1" x14ac:dyDescent="0.2">
      <c r="A2110" s="5" t="s">
        <v>340</v>
      </c>
      <c r="B2110" s="5" t="s">
        <v>354</v>
      </c>
      <c r="C2110" s="5" t="s">
        <v>2166</v>
      </c>
      <c r="D2110" s="5" t="s">
        <v>347</v>
      </c>
      <c r="E2110" s="5" t="s">
        <v>348</v>
      </c>
      <c r="F2110" s="5" t="s">
        <v>16</v>
      </c>
      <c r="G2110" s="6">
        <v>15120</v>
      </c>
      <c r="H2110" s="2103" t="str">
        <f>HYPERLINK("https://adv-map.ru/place/?LINK=370e6493192492a6b77b37dbd6ec816c","Ссылка")</f>
        <v>Ссылка</v>
      </c>
      <c r="I2110" s="5" t="s">
        <v>2168</v>
      </c>
    </row>
    <row r="2111" spans="1:9" s="4" customFormat="1" ht="38.1" customHeight="1" outlineLevel="1" x14ac:dyDescent="0.2">
      <c r="A2111" s="5" t="s">
        <v>340</v>
      </c>
      <c r="B2111" s="5" t="s">
        <v>354</v>
      </c>
      <c r="C2111" s="5" t="s">
        <v>2169</v>
      </c>
      <c r="D2111" s="5" t="s">
        <v>347</v>
      </c>
      <c r="E2111" s="5" t="s">
        <v>348</v>
      </c>
      <c r="F2111" s="5" t="s">
        <v>14</v>
      </c>
      <c r="G2111" s="6">
        <v>20160</v>
      </c>
      <c r="H2111" s="2104" t="str">
        <f>HYPERLINK("https://adv-map.ru/place/?LINK=f98c6ba334f5749c39464789087a1f7d","Ссылка")</f>
        <v>Ссылка</v>
      </c>
      <c r="I2111" s="5" t="s">
        <v>2170</v>
      </c>
    </row>
    <row r="2112" spans="1:9" s="4" customFormat="1" ht="38.1" customHeight="1" outlineLevel="1" x14ac:dyDescent="0.2">
      <c r="A2112" s="5" t="s">
        <v>340</v>
      </c>
      <c r="B2112" s="5" t="s">
        <v>354</v>
      </c>
      <c r="C2112" s="5" t="s">
        <v>2169</v>
      </c>
      <c r="D2112" s="5" t="s">
        <v>347</v>
      </c>
      <c r="E2112" s="5" t="s">
        <v>348</v>
      </c>
      <c r="F2112" s="5" t="s">
        <v>16</v>
      </c>
      <c r="G2112" s="6">
        <v>15120</v>
      </c>
      <c r="H2112" s="2105" t="str">
        <f>HYPERLINK("https://adv-map.ru/place/?LINK=8435eff640027106701dd1cdd5e2d87a","Ссылка")</f>
        <v>Ссылка</v>
      </c>
      <c r="I2112" s="5" t="s">
        <v>2170</v>
      </c>
    </row>
    <row r="2113" spans="1:9" s="4" customFormat="1" ht="38.1" customHeight="1" outlineLevel="1" x14ac:dyDescent="0.2">
      <c r="A2113" s="5" t="s">
        <v>340</v>
      </c>
      <c r="B2113" s="5" t="s">
        <v>354</v>
      </c>
      <c r="C2113" s="5" t="s">
        <v>2171</v>
      </c>
      <c r="D2113" s="5" t="s">
        <v>12</v>
      </c>
      <c r="E2113" s="5" t="s">
        <v>13</v>
      </c>
      <c r="F2113" s="5" t="s">
        <v>16</v>
      </c>
      <c r="G2113" s="6">
        <v>31500</v>
      </c>
      <c r="H2113" s="2106" t="str">
        <f>HYPERLINK("https://adv-map.ru/place/?LINK=4fa0b01f2c689363eac6a812703bb12d","Ссылка")</f>
        <v>Ссылка</v>
      </c>
      <c r="I2113" s="5"/>
    </row>
    <row r="2114" spans="1:9" s="4" customFormat="1" ht="38.1" customHeight="1" outlineLevel="1" x14ac:dyDescent="0.2">
      <c r="A2114" s="5" t="s">
        <v>340</v>
      </c>
      <c r="B2114" s="5" t="s">
        <v>354</v>
      </c>
      <c r="C2114" s="5" t="s">
        <v>2172</v>
      </c>
      <c r="D2114" s="5" t="s">
        <v>49</v>
      </c>
      <c r="E2114" s="5" t="s">
        <v>13</v>
      </c>
      <c r="F2114" s="5" t="s">
        <v>28</v>
      </c>
      <c r="G2114" s="6">
        <v>44100</v>
      </c>
      <c r="H2114" s="2107" t="str">
        <f>HYPERLINK("https://adv-map.ru/place/?LINK=99cc351e6bc0a703fd5aaa462e77268f","Ссылка")</f>
        <v>Ссылка</v>
      </c>
      <c r="I2114" s="5" t="s">
        <v>2173</v>
      </c>
    </row>
    <row r="2115" spans="1:9" s="4" customFormat="1" ht="38.1" customHeight="1" outlineLevel="1" x14ac:dyDescent="0.2">
      <c r="A2115" s="5" t="s">
        <v>340</v>
      </c>
      <c r="B2115" s="5" t="s">
        <v>354</v>
      </c>
      <c r="C2115" s="5" t="s">
        <v>2172</v>
      </c>
      <c r="D2115" s="5" t="s">
        <v>49</v>
      </c>
      <c r="E2115" s="5" t="s">
        <v>13</v>
      </c>
      <c r="F2115" s="5" t="s">
        <v>30</v>
      </c>
      <c r="G2115" s="6">
        <v>44100</v>
      </c>
      <c r="H2115" s="2108" t="str">
        <f>HYPERLINK("https://adv-map.ru/place/?LINK=93f9c983a4a437f21df9bf041a453ca4","Ссылка")</f>
        <v>Ссылка</v>
      </c>
      <c r="I2115" s="5" t="s">
        <v>2173</v>
      </c>
    </row>
    <row r="2116" spans="1:9" s="4" customFormat="1" ht="38.1" customHeight="1" outlineLevel="1" x14ac:dyDescent="0.2">
      <c r="A2116" s="5" t="s">
        <v>340</v>
      </c>
      <c r="B2116" s="5" t="s">
        <v>354</v>
      </c>
      <c r="C2116" s="5" t="s">
        <v>2172</v>
      </c>
      <c r="D2116" s="5" t="s">
        <v>49</v>
      </c>
      <c r="E2116" s="5" t="s">
        <v>13</v>
      </c>
      <c r="F2116" s="5" t="s">
        <v>31</v>
      </c>
      <c r="G2116" s="6">
        <v>44100</v>
      </c>
      <c r="H2116" s="2109" t="str">
        <f>HYPERLINK("https://adv-map.ru/place/?LINK=7e4ab5bddbcb23ea9331d91dc3a4958f","Ссылка")</f>
        <v>Ссылка</v>
      </c>
      <c r="I2116" s="5" t="s">
        <v>2173</v>
      </c>
    </row>
    <row r="2117" spans="1:9" s="1" customFormat="1" ht="14.1" customHeight="1" x14ac:dyDescent="0.15">
      <c r="A2117" s="2" t="s">
        <v>2174</v>
      </c>
      <c r="B2117" s="3"/>
      <c r="C2117" s="3"/>
      <c r="D2117" s="3"/>
      <c r="E2117" s="3"/>
      <c r="F2117" s="3"/>
      <c r="G2117" s="3"/>
      <c r="H2117" s="3"/>
      <c r="I2117" s="3"/>
    </row>
    <row r="2118" spans="1:9" s="4" customFormat="1" ht="38.1" customHeight="1" outlineLevel="1" x14ac:dyDescent="0.2">
      <c r="A2118" s="5" t="s">
        <v>2174</v>
      </c>
      <c r="B2118" s="5" t="s">
        <v>134</v>
      </c>
      <c r="C2118" s="5" t="s">
        <v>2175</v>
      </c>
      <c r="D2118" s="5" t="s">
        <v>12</v>
      </c>
      <c r="E2118" s="5" t="s">
        <v>13</v>
      </c>
      <c r="F2118" s="5" t="s">
        <v>16</v>
      </c>
      <c r="G2118" s="6">
        <v>25200</v>
      </c>
      <c r="H2118" s="2110" t="str">
        <f>HYPERLINK("https://adv-map.ru/place/?LINK=8b46dedc748b939f688e7acba88d4a62","Ссылка")</f>
        <v>Ссылка</v>
      </c>
      <c r="I2118" s="5" t="s">
        <v>2176</v>
      </c>
    </row>
    <row r="2119" spans="1:9" s="4" customFormat="1" ht="38.1" customHeight="1" outlineLevel="1" x14ac:dyDescent="0.2">
      <c r="A2119" s="5" t="s">
        <v>2174</v>
      </c>
      <c r="B2119" s="5" t="s">
        <v>134</v>
      </c>
      <c r="C2119" s="5" t="s">
        <v>2177</v>
      </c>
      <c r="D2119" s="5" t="s">
        <v>12</v>
      </c>
      <c r="E2119" s="5" t="s">
        <v>13</v>
      </c>
      <c r="F2119" s="5" t="s">
        <v>14</v>
      </c>
      <c r="G2119" s="6">
        <v>20000</v>
      </c>
      <c r="H2119" s="2111" t="str">
        <f>HYPERLINK("https://adv-map.ru/place/?LINK=38be62eebe00d7316a01c2068bb89d05","Ссылка")</f>
        <v>Ссылка</v>
      </c>
      <c r="I2119" s="5" t="s">
        <v>2178</v>
      </c>
    </row>
    <row r="2120" spans="1:9" s="4" customFormat="1" ht="38.1" customHeight="1" outlineLevel="1" x14ac:dyDescent="0.2">
      <c r="A2120" s="5" t="s">
        <v>2174</v>
      </c>
      <c r="B2120" s="5" t="s">
        <v>134</v>
      </c>
      <c r="C2120" s="5" t="s">
        <v>2177</v>
      </c>
      <c r="D2120" s="5" t="s">
        <v>12</v>
      </c>
      <c r="E2120" s="5" t="s">
        <v>13</v>
      </c>
      <c r="F2120" s="5" t="s">
        <v>16</v>
      </c>
      <c r="G2120" s="6">
        <v>20160</v>
      </c>
      <c r="H2120" s="2112" t="str">
        <f>HYPERLINK("https://adv-map.ru/place/?LINK=b76a308521d43f8c8067966196432e17","Ссылка")</f>
        <v>Ссылка</v>
      </c>
      <c r="I2120" s="5" t="s">
        <v>2178</v>
      </c>
    </row>
    <row r="2121" spans="1:9" s="4" customFormat="1" ht="38.1" customHeight="1" outlineLevel="1" x14ac:dyDescent="0.2">
      <c r="A2121" s="5" t="s">
        <v>2174</v>
      </c>
      <c r="B2121" s="5" t="s">
        <v>2179</v>
      </c>
      <c r="C2121" s="5" t="s">
        <v>2180</v>
      </c>
      <c r="D2121" s="5" t="s">
        <v>43</v>
      </c>
      <c r="E2121" s="5" t="s">
        <v>2181</v>
      </c>
      <c r="F2121" s="5" t="s">
        <v>14</v>
      </c>
      <c r="G2121" s="6">
        <v>19950</v>
      </c>
      <c r="H2121" s="2113" t="str">
        <f>HYPERLINK("https://adv-map.ru/place/?LINK=f5c1daeda8d12bfd33f79be9f2383944","Ссылка")</f>
        <v>Ссылка</v>
      </c>
      <c r="I2121" s="5" t="s">
        <v>2182</v>
      </c>
    </row>
    <row r="2122" spans="1:9" s="4" customFormat="1" ht="38.1" customHeight="1" outlineLevel="1" x14ac:dyDescent="0.2">
      <c r="A2122" s="5" t="s">
        <v>2174</v>
      </c>
      <c r="B2122" s="5" t="s">
        <v>2179</v>
      </c>
      <c r="C2122" s="5" t="s">
        <v>2180</v>
      </c>
      <c r="D2122" s="5" t="s">
        <v>43</v>
      </c>
      <c r="E2122" s="5" t="s">
        <v>2181</v>
      </c>
      <c r="F2122" s="5" t="s">
        <v>16</v>
      </c>
      <c r="G2122" s="6">
        <v>14700</v>
      </c>
      <c r="H2122" s="2114" t="str">
        <f>HYPERLINK("https://adv-map.ru/place/?LINK=7301162a4683548c0698601042d5d239","Ссылка")</f>
        <v>Ссылка</v>
      </c>
      <c r="I2122" s="5" t="s">
        <v>2182</v>
      </c>
    </row>
    <row r="2123" spans="1:9" s="1" customFormat="1" ht="14.1" customHeight="1" x14ac:dyDescent="0.15">
      <c r="A2123" s="2" t="s">
        <v>2183</v>
      </c>
      <c r="B2123" s="3"/>
      <c r="C2123" s="3"/>
      <c r="D2123" s="3"/>
      <c r="E2123" s="3"/>
      <c r="F2123" s="3"/>
      <c r="G2123" s="3"/>
      <c r="H2123" s="3"/>
      <c r="I2123" s="3"/>
    </row>
    <row r="2124" spans="1:9" s="4" customFormat="1" ht="38.1" customHeight="1" outlineLevel="1" x14ac:dyDescent="0.2">
      <c r="A2124" s="5" t="s">
        <v>2183</v>
      </c>
      <c r="B2124" s="5" t="s">
        <v>2184</v>
      </c>
      <c r="C2124" s="5" t="s">
        <v>2185</v>
      </c>
      <c r="D2124" s="5" t="s">
        <v>12</v>
      </c>
      <c r="E2124" s="5" t="s">
        <v>13</v>
      </c>
      <c r="F2124" s="5" t="s">
        <v>14</v>
      </c>
      <c r="G2124" s="6">
        <v>29400</v>
      </c>
      <c r="H2124" s="2115" t="str">
        <f>HYPERLINK("https://adv-map.ru/place/?LINK=b6a32b9fef251df5b1c0bb85061d7e69","Ссылка")</f>
        <v>Ссылка</v>
      </c>
      <c r="I2124" s="5" t="s">
        <v>2186</v>
      </c>
    </row>
    <row r="2125" spans="1:9" s="4" customFormat="1" ht="38.1" customHeight="1" outlineLevel="1" x14ac:dyDescent="0.2">
      <c r="A2125" s="5" t="s">
        <v>2183</v>
      </c>
      <c r="B2125" s="5" t="s">
        <v>2184</v>
      </c>
      <c r="C2125" s="5" t="s">
        <v>2185</v>
      </c>
      <c r="D2125" s="5" t="s">
        <v>12</v>
      </c>
      <c r="E2125" s="5" t="s">
        <v>13</v>
      </c>
      <c r="F2125" s="5" t="s">
        <v>16</v>
      </c>
      <c r="G2125" s="6">
        <v>25200</v>
      </c>
      <c r="H2125" s="2116" t="str">
        <f>HYPERLINK("https://adv-map.ru/place/?LINK=e22c9c5e26ab72fd6e7757bc759ada42","Ссылка")</f>
        <v>Ссылка</v>
      </c>
      <c r="I2125" s="5" t="s">
        <v>2186</v>
      </c>
    </row>
    <row r="2126" spans="1:9" s="4" customFormat="1" ht="38.1" customHeight="1" outlineLevel="1" x14ac:dyDescent="0.2">
      <c r="A2126" s="5" t="s">
        <v>2183</v>
      </c>
      <c r="B2126" s="5" t="s">
        <v>2187</v>
      </c>
      <c r="C2126" s="5" t="s">
        <v>2188</v>
      </c>
      <c r="D2126" s="5" t="s">
        <v>12</v>
      </c>
      <c r="E2126" s="5" t="s">
        <v>13</v>
      </c>
      <c r="F2126" s="5" t="s">
        <v>14</v>
      </c>
      <c r="G2126" s="6">
        <v>29400</v>
      </c>
      <c r="H2126" s="2117" t="str">
        <f>HYPERLINK("https://adv-map.ru/place/?LINK=5f83daf9c1facd010cbca17c005e6394","Ссылка")</f>
        <v>Ссылка</v>
      </c>
      <c r="I2126" s="5" t="s">
        <v>2189</v>
      </c>
    </row>
    <row r="2127" spans="1:9" s="4" customFormat="1" ht="38.1" customHeight="1" outlineLevel="1" x14ac:dyDescent="0.2">
      <c r="A2127" s="5" t="s">
        <v>2183</v>
      </c>
      <c r="B2127" s="5" t="s">
        <v>2187</v>
      </c>
      <c r="C2127" s="5" t="s">
        <v>2188</v>
      </c>
      <c r="D2127" s="5" t="s">
        <v>12</v>
      </c>
      <c r="E2127" s="5" t="s">
        <v>13</v>
      </c>
      <c r="F2127" s="5" t="s">
        <v>16</v>
      </c>
      <c r="G2127" s="6">
        <v>25200</v>
      </c>
      <c r="H2127" s="2118" t="str">
        <f>HYPERLINK("https://adv-map.ru/place/?LINK=1ba200245ae1e1d7b8d83be051c5345e","Ссылка")</f>
        <v>Ссылка</v>
      </c>
      <c r="I2127" s="5" t="s">
        <v>2189</v>
      </c>
    </row>
    <row r="2128" spans="1:9" s="4" customFormat="1" ht="38.1" customHeight="1" outlineLevel="1" x14ac:dyDescent="0.2">
      <c r="A2128" s="5" t="s">
        <v>2183</v>
      </c>
      <c r="B2128" s="5" t="s">
        <v>2190</v>
      </c>
      <c r="C2128" s="5" t="s">
        <v>2191</v>
      </c>
      <c r="D2128" s="5" t="s">
        <v>12</v>
      </c>
      <c r="E2128" s="5" t="s">
        <v>13</v>
      </c>
      <c r="F2128" s="5" t="s">
        <v>14</v>
      </c>
      <c r="G2128" s="6">
        <v>29400</v>
      </c>
      <c r="H2128" s="2119" t="str">
        <f>HYPERLINK("https://adv-map.ru/place/?LINK=4eb00193848bc6fbc4f88a53d14a15cf","Ссылка")</f>
        <v>Ссылка</v>
      </c>
      <c r="I2128" s="5" t="s">
        <v>2192</v>
      </c>
    </row>
    <row r="2129" spans="1:9" s="4" customFormat="1" ht="38.1" customHeight="1" outlineLevel="1" x14ac:dyDescent="0.2">
      <c r="A2129" s="5" t="s">
        <v>2183</v>
      </c>
      <c r="B2129" s="5" t="s">
        <v>2190</v>
      </c>
      <c r="C2129" s="5" t="s">
        <v>2191</v>
      </c>
      <c r="D2129" s="5" t="s">
        <v>12</v>
      </c>
      <c r="E2129" s="5" t="s">
        <v>13</v>
      </c>
      <c r="F2129" s="5" t="s">
        <v>16</v>
      </c>
      <c r="G2129" s="6">
        <v>25200</v>
      </c>
      <c r="H2129" s="2120" t="str">
        <f>HYPERLINK("https://adv-map.ru/place/?LINK=4fc5790fb0d82966eec6da774d626cd7","Ссылка")</f>
        <v>Ссылка</v>
      </c>
      <c r="I2129" s="5" t="s">
        <v>2192</v>
      </c>
    </row>
    <row r="2130" spans="1:9" s="1" customFormat="1" ht="14.1" customHeight="1" x14ac:dyDescent="0.15">
      <c r="A2130" s="2" t="s">
        <v>2193</v>
      </c>
      <c r="B2130" s="3"/>
      <c r="C2130" s="3"/>
      <c r="D2130" s="3"/>
      <c r="E2130" s="3"/>
      <c r="F2130" s="3"/>
      <c r="G2130" s="3"/>
      <c r="H2130" s="3"/>
      <c r="I2130" s="3"/>
    </row>
    <row r="2131" spans="1:9" s="4" customFormat="1" ht="38.1" customHeight="1" outlineLevel="1" x14ac:dyDescent="0.2">
      <c r="A2131" s="5" t="s">
        <v>2193</v>
      </c>
      <c r="B2131" s="5" t="s">
        <v>134</v>
      </c>
      <c r="C2131" s="5" t="s">
        <v>2194</v>
      </c>
      <c r="D2131" s="5" t="s">
        <v>12</v>
      </c>
      <c r="E2131" s="5" t="s">
        <v>13</v>
      </c>
      <c r="F2131" s="5" t="s">
        <v>14</v>
      </c>
      <c r="G2131" s="6">
        <v>31500</v>
      </c>
      <c r="H2131" s="2121" t="str">
        <f>HYPERLINK("https://adv-map.ru/place/?LINK=b5b71e900080b271be1eb69f623f9a6f","Ссылка")</f>
        <v>Ссылка</v>
      </c>
      <c r="I2131" s="5" t="s">
        <v>2195</v>
      </c>
    </row>
    <row r="2132" spans="1:9" s="4" customFormat="1" ht="38.1" customHeight="1" outlineLevel="1" x14ac:dyDescent="0.2">
      <c r="A2132" s="5" t="s">
        <v>2193</v>
      </c>
      <c r="B2132" s="5" t="s">
        <v>134</v>
      </c>
      <c r="C2132" s="5" t="s">
        <v>2194</v>
      </c>
      <c r="D2132" s="5" t="s">
        <v>12</v>
      </c>
      <c r="E2132" s="5" t="s">
        <v>13</v>
      </c>
      <c r="F2132" s="5" t="s">
        <v>16</v>
      </c>
      <c r="G2132" s="6">
        <v>25200</v>
      </c>
      <c r="H2132" s="2122" t="str">
        <f>HYPERLINK("https://adv-map.ru/place/?LINK=7307444ebe6e65489526b77f96c75aa6","Ссылка")</f>
        <v>Ссылка</v>
      </c>
      <c r="I2132" s="5" t="s">
        <v>2195</v>
      </c>
    </row>
    <row r="2133" spans="1:9" s="4" customFormat="1" ht="38.1" customHeight="1" outlineLevel="1" x14ac:dyDescent="0.2">
      <c r="A2133" s="5" t="s">
        <v>2193</v>
      </c>
      <c r="B2133" s="5" t="s">
        <v>134</v>
      </c>
      <c r="C2133" s="5" t="s">
        <v>2196</v>
      </c>
      <c r="D2133" s="5" t="s">
        <v>12</v>
      </c>
      <c r="E2133" s="5" t="s">
        <v>13</v>
      </c>
      <c r="F2133" s="5" t="s">
        <v>14</v>
      </c>
      <c r="G2133" s="6">
        <v>31500</v>
      </c>
      <c r="H2133" s="2123" t="str">
        <f>HYPERLINK("https://adv-map.ru/place/?LINK=23062dbea5fb6e09bf24317d2a3f76be","Ссылка")</f>
        <v>Ссылка</v>
      </c>
      <c r="I2133" s="5" t="s">
        <v>2197</v>
      </c>
    </row>
    <row r="2134" spans="1:9" s="4" customFormat="1" ht="38.1" customHeight="1" outlineLevel="1" x14ac:dyDescent="0.2">
      <c r="A2134" s="5" t="s">
        <v>2193</v>
      </c>
      <c r="B2134" s="5" t="s">
        <v>134</v>
      </c>
      <c r="C2134" s="5" t="s">
        <v>2198</v>
      </c>
      <c r="D2134" s="5" t="s">
        <v>12</v>
      </c>
      <c r="E2134" s="5" t="s">
        <v>13</v>
      </c>
      <c r="F2134" s="5" t="s">
        <v>16</v>
      </c>
      <c r="G2134" s="6">
        <v>25200</v>
      </c>
      <c r="H2134" s="2124" t="str">
        <f>HYPERLINK("https://adv-map.ru/place/?LINK=43af244c9543ec0f9efd47e2f65be6a4","Ссылка")</f>
        <v>Ссылка</v>
      </c>
      <c r="I2134" s="5" t="s">
        <v>2197</v>
      </c>
    </row>
    <row r="2135" spans="1:9" s="1" customFormat="1" ht="14.1" customHeight="1" x14ac:dyDescent="0.15">
      <c r="A2135" s="2" t="s">
        <v>2199</v>
      </c>
      <c r="B2135" s="3"/>
      <c r="C2135" s="3"/>
      <c r="D2135" s="3"/>
      <c r="E2135" s="3"/>
      <c r="F2135" s="3"/>
      <c r="G2135" s="3"/>
      <c r="H2135" s="3"/>
      <c r="I2135" s="3"/>
    </row>
    <row r="2136" spans="1:9" s="4" customFormat="1" ht="38.1" customHeight="1" outlineLevel="1" x14ac:dyDescent="0.2">
      <c r="A2136" s="5" t="s">
        <v>2199</v>
      </c>
      <c r="B2136" s="5" t="s">
        <v>2200</v>
      </c>
      <c r="C2136" s="5" t="s">
        <v>2201</v>
      </c>
      <c r="D2136" s="5" t="s">
        <v>12</v>
      </c>
      <c r="E2136" s="5" t="s">
        <v>13</v>
      </c>
      <c r="F2136" s="5" t="s">
        <v>14</v>
      </c>
      <c r="G2136" s="6">
        <v>31500</v>
      </c>
      <c r="H2136" s="2125" t="str">
        <f>HYPERLINK("https://adv-map.ru/place/?LINK=68c98f47abb8be858329773bb91d3d95","Ссылка")</f>
        <v>Ссылка</v>
      </c>
      <c r="I2136" s="5" t="s">
        <v>2202</v>
      </c>
    </row>
    <row r="2137" spans="1:9" s="4" customFormat="1" ht="38.1" customHeight="1" outlineLevel="1" x14ac:dyDescent="0.2">
      <c r="A2137" s="5" t="s">
        <v>2199</v>
      </c>
      <c r="B2137" s="5" t="s">
        <v>2200</v>
      </c>
      <c r="C2137" s="5" t="s">
        <v>2201</v>
      </c>
      <c r="D2137" s="5" t="s">
        <v>12</v>
      </c>
      <c r="E2137" s="5" t="s">
        <v>13</v>
      </c>
      <c r="F2137" s="5" t="s">
        <v>16</v>
      </c>
      <c r="G2137" s="6">
        <v>25200</v>
      </c>
      <c r="H2137" s="2126" t="str">
        <f>HYPERLINK("https://adv-map.ru/place/?LINK=b7b4affe0194e4136f70f9e0ca5900e0","Ссылка")</f>
        <v>Ссылка</v>
      </c>
      <c r="I2137" s="5" t="s">
        <v>2202</v>
      </c>
    </row>
    <row r="2138" spans="1:9" s="1" customFormat="1" ht="14.1" customHeight="1" x14ac:dyDescent="0.15">
      <c r="A2138" s="2" t="s">
        <v>2203</v>
      </c>
      <c r="B2138" s="3"/>
      <c r="C2138" s="3"/>
      <c r="D2138" s="3"/>
      <c r="E2138" s="3"/>
      <c r="F2138" s="3"/>
      <c r="G2138" s="3"/>
      <c r="H2138" s="3"/>
      <c r="I2138" s="3"/>
    </row>
    <row r="2139" spans="1:9" s="4" customFormat="1" ht="38.1" customHeight="1" outlineLevel="1" x14ac:dyDescent="0.2">
      <c r="A2139" s="5" t="s">
        <v>2203</v>
      </c>
      <c r="B2139" s="5" t="s">
        <v>2204</v>
      </c>
      <c r="C2139" s="5" t="s">
        <v>2205</v>
      </c>
      <c r="D2139" s="5" t="s">
        <v>12</v>
      </c>
      <c r="E2139" s="5" t="s">
        <v>13</v>
      </c>
      <c r="F2139" s="5" t="s">
        <v>14</v>
      </c>
      <c r="G2139" s="6">
        <v>25200</v>
      </c>
      <c r="H2139" s="2127" t="str">
        <f>HYPERLINK("https://adv-map.ru/place/?LINK=a40fc80c0deab9da6d13063d5015a780","Ссылка")</f>
        <v>Ссылка</v>
      </c>
      <c r="I2139" s="5" t="s">
        <v>2206</v>
      </c>
    </row>
    <row r="2140" spans="1:9" s="4" customFormat="1" ht="38.1" customHeight="1" outlineLevel="1" x14ac:dyDescent="0.2">
      <c r="A2140" s="5" t="s">
        <v>2203</v>
      </c>
      <c r="B2140" s="5" t="s">
        <v>2204</v>
      </c>
      <c r="C2140" s="5" t="s">
        <v>2205</v>
      </c>
      <c r="D2140" s="5" t="s">
        <v>12</v>
      </c>
      <c r="E2140" s="5" t="s">
        <v>13</v>
      </c>
      <c r="F2140" s="5" t="s">
        <v>16</v>
      </c>
      <c r="G2140" s="6">
        <v>20160</v>
      </c>
      <c r="H2140" s="2128" t="str">
        <f>HYPERLINK("https://adv-map.ru/place/?LINK=6e6466e127c6400431f13e49899b8d09","Ссылка")</f>
        <v>Ссылка</v>
      </c>
      <c r="I2140" s="5" t="s">
        <v>2206</v>
      </c>
    </row>
    <row r="2141" spans="1:9" s="4" customFormat="1" ht="38.1" customHeight="1" outlineLevel="1" x14ac:dyDescent="0.2">
      <c r="A2141" s="5" t="s">
        <v>2203</v>
      </c>
      <c r="B2141" s="5" t="s">
        <v>2204</v>
      </c>
      <c r="C2141" s="5" t="s">
        <v>2207</v>
      </c>
      <c r="D2141" s="5" t="s">
        <v>12</v>
      </c>
      <c r="E2141" s="5" t="s">
        <v>13</v>
      </c>
      <c r="F2141" s="5" t="s">
        <v>14</v>
      </c>
      <c r="G2141" s="6">
        <v>31500</v>
      </c>
      <c r="H2141" s="2129" t="str">
        <f>HYPERLINK("https://adv-map.ru/place/?LINK=fe6ac509f1c450ede247c9d21bfb72b8","Ссылка")</f>
        <v>Ссылка</v>
      </c>
      <c r="I2141" s="5" t="s">
        <v>2208</v>
      </c>
    </row>
    <row r="2142" spans="1:9" s="4" customFormat="1" ht="38.1" customHeight="1" outlineLevel="1" x14ac:dyDescent="0.2">
      <c r="A2142" s="5" t="s">
        <v>2203</v>
      </c>
      <c r="B2142" s="5" t="s">
        <v>2204</v>
      </c>
      <c r="C2142" s="5" t="s">
        <v>2207</v>
      </c>
      <c r="D2142" s="5" t="s">
        <v>12</v>
      </c>
      <c r="E2142" s="5" t="s">
        <v>13</v>
      </c>
      <c r="F2142" s="5" t="s">
        <v>16</v>
      </c>
      <c r="G2142" s="6">
        <v>25200</v>
      </c>
      <c r="H2142" s="2130" t="str">
        <f>HYPERLINK("https://adv-map.ru/place/?LINK=6fec9967bebe3a78a8a192973c8c8357","Ссылка")</f>
        <v>Ссылка</v>
      </c>
      <c r="I2142" s="5" t="s">
        <v>2208</v>
      </c>
    </row>
  </sheetData>
  <mergeCells count="9">
    <mergeCell ref="F2:F3"/>
    <mergeCell ref="G2:G3"/>
    <mergeCell ref="H2:H3"/>
    <mergeCell ref="I2:I3"/>
    <mergeCell ref="A2:A3"/>
    <mergeCell ref="B2:B3"/>
    <mergeCell ref="C2:C3"/>
    <mergeCell ref="D2:D3"/>
    <mergeCell ref="E2:E3"/>
  </mergeCells>
  <pageMargins left="0.39370078740157483" right="0.39370078740157483" top="0.39370078740157483" bottom="0.39370078740157483" header="0" footer="0"/>
  <pageSetup paperSize="9" fitToHeight="0" pageOrder="overThenDown" orientation="portrait"/>
  <headerFooter>
    <oddHeader>&amp;R&amp;"Tahoma,normal"&amp;8Дата: &amp;D,  время: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User_Ig</cp:lastModifiedBy>
  <dcterms:modified xsi:type="dcterms:W3CDTF">2025-03-20T09:40:58Z</dcterms:modified>
</cp:coreProperties>
</file>